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PC\Dropbox\2. NAM 2026\Ky hop chuyen de 9.2026\"/>
    </mc:Choice>
  </mc:AlternateContent>
  <bookViews>
    <workbookView xWindow="-105" yWindow="-105" windowWidth="19425" windowHeight="10305" firstSheet="5" activeTab="5"/>
  </bookViews>
  <sheets>
    <sheet name="Kangatang" sheetId="9" state="veryHidden" r:id="rId1"/>
    <sheet name="PL TongHOp 21-25 (IN)" sheetId="1" state="hidden" r:id="rId2"/>
    <sheet name="PL tong hop du kien 26-30" sheetId="2" state="hidden" r:id="rId3"/>
    <sheet name="PL2-Von ODA- Khong" sheetId="14" state="hidden" r:id="rId4"/>
    <sheet name="PL3-NSDP Chuyen tiep- Khong" sheetId="3" state="hidden" r:id="rId5"/>
    <sheet name="Phu luc" sheetId="17" r:id="rId6"/>
    <sheet name="Phu bieu-Danh muc khong chon" sheetId="7" state="hidden" r:id="rId7"/>
    <sheet name="Nhu cau Khoi cong moi đơn vị" sheetId="6" state="hidden" r:id="rId8"/>
    <sheet name="So sanh cac huyen" sheetId="5" state="hidden" r:id="rId9"/>
    <sheet name="Trang_tính1" sheetId="8" state="hidden" r:id="rId10"/>
    <sheet name="PL2-Khoi cong moi (gốc)" sheetId="15" state="hidden" r:id="rId11"/>
  </sheets>
  <externalReferences>
    <externalReference r:id="rId12"/>
    <externalReference r:id="rId13"/>
    <externalReference r:id="rId14"/>
    <externalReference r:id="rId15"/>
  </externalReferences>
  <definedNames>
    <definedName name="_xlnm.Print_Area" localSheetId="2">#N/A</definedName>
    <definedName name="_xlnm.Print_Area" localSheetId="1">#N/A</definedName>
    <definedName name="_xlnm.Print_Area" localSheetId="10">#N/A</definedName>
    <definedName name="_xlnm.Print_Area" localSheetId="3">#N/A</definedName>
    <definedName name="_xlnm.Print_Area" localSheetId="6">#N/A</definedName>
    <definedName name="_xlnm.Print_Titles" localSheetId="2">#N/A</definedName>
    <definedName name="_xlnm.Print_Titles" localSheetId="1">#N/A</definedName>
    <definedName name="_xlnm.Print_Titles" localSheetId="10">#N/A</definedName>
    <definedName name="_xlnm.Print_Titles" localSheetId="6">#N/A</definedName>
  </definedNames>
  <calcPr calcId="162913"/>
</workbook>
</file>

<file path=xl/calcChain.xml><?xml version="1.0" encoding="utf-8"?>
<calcChain xmlns="http://schemas.openxmlformats.org/spreadsheetml/2006/main">
  <c r="L13" i="17" l="1"/>
  <c r="M9" i="17"/>
  <c r="H9" i="17"/>
  <c r="I10" i="17"/>
  <c r="I9" i="17" s="1"/>
  <c r="J10" i="17"/>
  <c r="J9" i="17" s="1"/>
  <c r="K10" i="17"/>
  <c r="K9" i="17" s="1"/>
  <c r="M10" i="17"/>
  <c r="N10" i="17"/>
  <c r="N9" i="17" s="1"/>
  <c r="O10" i="17"/>
  <c r="H10" i="17"/>
  <c r="L12" i="17" l="1"/>
  <c r="L11" i="17"/>
  <c r="L10" i="17" s="1"/>
  <c r="L9" i="17" s="1"/>
  <c r="G8" i="17"/>
  <c r="H8" i="17" s="1"/>
  <c r="I8" i="17" s="1"/>
  <c r="J8" i="17" s="1"/>
  <c r="K8" i="17" s="1"/>
  <c r="L8" i="17" s="1"/>
  <c r="M8" i="17" s="1"/>
  <c r="N8" i="17" s="1"/>
  <c r="O8" i="17" s="1"/>
  <c r="D15" i="2" l="1"/>
  <c r="M21" i="2"/>
  <c r="Y14" i="14"/>
  <c r="Y13" i="14" s="1"/>
  <c r="P18" i="14"/>
  <c r="M40" i="2"/>
  <c r="E34" i="2"/>
  <c r="E35" i="2"/>
  <c r="E36" i="2"/>
  <c r="O86" i="7"/>
  <c r="N86" i="7"/>
  <c r="M86" i="7"/>
  <c r="L86" i="7"/>
  <c r="K86" i="7"/>
  <c r="J86" i="7"/>
  <c r="I86" i="7"/>
  <c r="O85" i="7"/>
  <c r="N85" i="7"/>
  <c r="M85" i="7"/>
  <c r="L85" i="7"/>
  <c r="K85" i="7"/>
  <c r="J85" i="7"/>
  <c r="I85" i="7"/>
  <c r="T246" i="15"/>
  <c r="V242" i="15"/>
  <c r="V245" i="15" s="1"/>
  <c r="U242" i="15"/>
  <c r="X240" i="15"/>
  <c r="T240" i="15"/>
  <c r="P240" i="15"/>
  <c r="X239" i="15"/>
  <c r="T239" i="15"/>
  <c r="P239" i="15"/>
  <c r="P238" i="15" s="1"/>
  <c r="R238" i="15"/>
  <c r="Q238" i="15"/>
  <c r="O238" i="15"/>
  <c r="N238" i="15"/>
  <c r="M238" i="15"/>
  <c r="L238" i="15"/>
  <c r="K238" i="15"/>
  <c r="J238" i="15"/>
  <c r="X237" i="15"/>
  <c r="T237" i="15"/>
  <c r="P237" i="15"/>
  <c r="X236" i="15"/>
  <c r="T236" i="15"/>
  <c r="P236" i="15"/>
  <c r="X235" i="15"/>
  <c r="T235" i="15"/>
  <c r="P235" i="15"/>
  <c r="R234" i="15"/>
  <c r="Q234" i="15"/>
  <c r="O234" i="15"/>
  <c r="N234" i="15"/>
  <c r="M234" i="15"/>
  <c r="L234" i="15"/>
  <c r="K234" i="15"/>
  <c r="J234" i="15"/>
  <c r="X233" i="15"/>
  <c r="T233" i="15"/>
  <c r="P233" i="15"/>
  <c r="X232" i="15"/>
  <c r="T232" i="15"/>
  <c r="P232" i="15"/>
  <c r="X231" i="15"/>
  <c r="T231" i="15"/>
  <c r="P231" i="15"/>
  <c r="X230" i="15"/>
  <c r="T230" i="15"/>
  <c r="P230" i="15"/>
  <c r="R229" i="15"/>
  <c r="Q229" i="15"/>
  <c r="O229" i="15"/>
  <c r="N229" i="15"/>
  <c r="M229" i="15"/>
  <c r="L229" i="15"/>
  <c r="K229" i="15"/>
  <c r="J229" i="15"/>
  <c r="X228" i="15"/>
  <c r="T228" i="15"/>
  <c r="P228" i="15"/>
  <c r="X227" i="15"/>
  <c r="T227" i="15"/>
  <c r="P227" i="15"/>
  <c r="X226" i="15"/>
  <c r="T226" i="15"/>
  <c r="P226" i="15"/>
  <c r="X225" i="15"/>
  <c r="T225" i="15"/>
  <c r="P225" i="15"/>
  <c r="X224" i="15"/>
  <c r="T224" i="15"/>
  <c r="P224" i="15"/>
  <c r="P223" i="15" s="1"/>
  <c r="R223" i="15"/>
  <c r="Q223" i="15"/>
  <c r="O223" i="15"/>
  <c r="N223" i="15"/>
  <c r="M223" i="15"/>
  <c r="L223" i="15"/>
  <c r="K223" i="15"/>
  <c r="J223" i="15"/>
  <c r="X222" i="15"/>
  <c r="T222" i="15"/>
  <c r="P222" i="15"/>
  <c r="X221" i="15"/>
  <c r="T221" i="15"/>
  <c r="P221" i="15"/>
  <c r="X220" i="15"/>
  <c r="T220" i="15"/>
  <c r="P220" i="15"/>
  <c r="X219" i="15"/>
  <c r="T219" i="15"/>
  <c r="P219" i="15"/>
  <c r="X218" i="15"/>
  <c r="T218" i="15"/>
  <c r="P218" i="15"/>
  <c r="X217" i="15"/>
  <c r="T217" i="15"/>
  <c r="P217" i="15"/>
  <c r="X216" i="15"/>
  <c r="T216" i="15"/>
  <c r="P216" i="15"/>
  <c r="X215" i="15"/>
  <c r="T215" i="15"/>
  <c r="P215" i="15"/>
  <c r="R214" i="15"/>
  <c r="Q214" i="15"/>
  <c r="O214" i="15"/>
  <c r="N214" i="15"/>
  <c r="M214" i="15"/>
  <c r="L214" i="15"/>
  <c r="K214" i="15"/>
  <c r="J214" i="15"/>
  <c r="X213" i="15"/>
  <c r="T213" i="15"/>
  <c r="P213" i="15"/>
  <c r="X212" i="15"/>
  <c r="T212" i="15"/>
  <c r="P212" i="15"/>
  <c r="X211" i="15"/>
  <c r="T211" i="15"/>
  <c r="P211" i="15"/>
  <c r="X210" i="15"/>
  <c r="T210" i="15"/>
  <c r="P210" i="15"/>
  <c r="X209" i="15"/>
  <c r="T209" i="15"/>
  <c r="P209" i="15"/>
  <c r="R208" i="15"/>
  <c r="Q208" i="15"/>
  <c r="O208" i="15"/>
  <c r="N208" i="15"/>
  <c r="M208" i="15"/>
  <c r="L208" i="15"/>
  <c r="K208" i="15"/>
  <c r="J208" i="15"/>
  <c r="X207" i="15"/>
  <c r="T207" i="15"/>
  <c r="P207" i="15"/>
  <c r="X206" i="15"/>
  <c r="T206" i="15"/>
  <c r="P206" i="15"/>
  <c r="X205" i="15"/>
  <c r="T205" i="15"/>
  <c r="P205" i="15"/>
  <c r="X204" i="15"/>
  <c r="T204" i="15"/>
  <c r="P204" i="15"/>
  <c r="P203" i="15" s="1"/>
  <c r="R203" i="15"/>
  <c r="Q203" i="15"/>
  <c r="O203" i="15"/>
  <c r="N203" i="15"/>
  <c r="M203" i="15"/>
  <c r="L203" i="15"/>
  <c r="K203" i="15"/>
  <c r="J203" i="15"/>
  <c r="X202" i="15"/>
  <c r="T202" i="15"/>
  <c r="P202" i="15"/>
  <c r="X201" i="15"/>
  <c r="T201" i="15"/>
  <c r="P201" i="15"/>
  <c r="P200" i="15" s="1"/>
  <c r="R200" i="15"/>
  <c r="Q200" i="15"/>
  <c r="O200" i="15"/>
  <c r="N200" i="15"/>
  <c r="M200" i="15"/>
  <c r="L200" i="15"/>
  <c r="K200" i="15"/>
  <c r="J200" i="15"/>
  <c r="X199" i="15"/>
  <c r="T199" i="15"/>
  <c r="P199" i="15"/>
  <c r="X198" i="15"/>
  <c r="T198" i="15"/>
  <c r="P198" i="15"/>
  <c r="R197" i="15"/>
  <c r="Q197" i="15"/>
  <c r="O197" i="15"/>
  <c r="N197" i="15"/>
  <c r="M197" i="15"/>
  <c r="L197" i="15"/>
  <c r="K197" i="15"/>
  <c r="J197" i="15"/>
  <c r="X196" i="15"/>
  <c r="T196" i="15"/>
  <c r="P196" i="15"/>
  <c r="X195" i="15"/>
  <c r="T195" i="15"/>
  <c r="P195" i="15"/>
  <c r="T194" i="15"/>
  <c r="P194" i="15"/>
  <c r="R193" i="15"/>
  <c r="Q193" i="15"/>
  <c r="O193" i="15"/>
  <c r="N193" i="15"/>
  <c r="M193" i="15"/>
  <c r="L193" i="15"/>
  <c r="K193" i="15"/>
  <c r="J193" i="15"/>
  <c r="T192" i="15"/>
  <c r="P192" i="15"/>
  <c r="J192" i="15"/>
  <c r="T191" i="15"/>
  <c r="P191" i="15"/>
  <c r="J191" i="15"/>
  <c r="X191" i="15" s="1"/>
  <c r="T190" i="15"/>
  <c r="P190" i="15"/>
  <c r="J190" i="15"/>
  <c r="X189" i="15"/>
  <c r="T189" i="15"/>
  <c r="R188" i="15"/>
  <c r="Q188" i="15"/>
  <c r="O188" i="15"/>
  <c r="N188" i="15"/>
  <c r="M188" i="15"/>
  <c r="L188" i="15"/>
  <c r="K188" i="15"/>
  <c r="X187" i="15"/>
  <c r="T187" i="15"/>
  <c r="P187" i="15"/>
  <c r="X186" i="15"/>
  <c r="T186" i="15"/>
  <c r="P186" i="15"/>
  <c r="X185" i="15"/>
  <c r="T185" i="15"/>
  <c r="P185" i="15"/>
  <c r="X184" i="15"/>
  <c r="T184" i="15"/>
  <c r="P184" i="15"/>
  <c r="R183" i="15"/>
  <c r="Q183" i="15"/>
  <c r="O183" i="15"/>
  <c r="N183" i="15"/>
  <c r="M183" i="15"/>
  <c r="L183" i="15"/>
  <c r="K183" i="15"/>
  <c r="J183" i="15"/>
  <c r="T182" i="15"/>
  <c r="P182" i="15"/>
  <c r="P181" i="15" s="1"/>
  <c r="R181" i="15"/>
  <c r="R180" i="15" s="1"/>
  <c r="Q181" i="15"/>
  <c r="O181" i="15"/>
  <c r="N181" i="15"/>
  <c r="M181" i="15"/>
  <c r="L181" i="15"/>
  <c r="K181" i="15"/>
  <c r="J181" i="15"/>
  <c r="T179" i="15"/>
  <c r="P179" i="15"/>
  <c r="T178" i="15"/>
  <c r="P178" i="15"/>
  <c r="T177" i="15"/>
  <c r="P177" i="15"/>
  <c r="T176" i="15"/>
  <c r="P176" i="15"/>
  <c r="R175" i="15"/>
  <c r="Q175" i="15"/>
  <c r="O175" i="15"/>
  <c r="N175" i="15"/>
  <c r="M175" i="15"/>
  <c r="L175" i="15"/>
  <c r="K175" i="15"/>
  <c r="J175" i="15"/>
  <c r="R174" i="15"/>
  <c r="Q174" i="15"/>
  <c r="O174" i="15"/>
  <c r="N174" i="15"/>
  <c r="M174" i="15"/>
  <c r="L174" i="15"/>
  <c r="K174" i="15"/>
  <c r="J174" i="15"/>
  <c r="T173" i="15"/>
  <c r="R172" i="15"/>
  <c r="Q172" i="15"/>
  <c r="P172" i="15"/>
  <c r="O172" i="15"/>
  <c r="N172" i="15"/>
  <c r="M172" i="15"/>
  <c r="L172" i="15"/>
  <c r="K172" i="15"/>
  <c r="J172" i="15"/>
  <c r="R171" i="15"/>
  <c r="Q171" i="15"/>
  <c r="P171" i="15"/>
  <c r="O171" i="15"/>
  <c r="N171" i="15"/>
  <c r="M171" i="15"/>
  <c r="L171" i="15"/>
  <c r="K171" i="15"/>
  <c r="J171" i="15"/>
  <c r="T170" i="15"/>
  <c r="T169" i="15"/>
  <c r="R168" i="15"/>
  <c r="Q168" i="15"/>
  <c r="P168" i="15"/>
  <c r="O168" i="15"/>
  <c r="N168" i="15"/>
  <c r="M168" i="15"/>
  <c r="L168" i="15"/>
  <c r="K168" i="15"/>
  <c r="J168" i="15"/>
  <c r="R167" i="15"/>
  <c r="Q167" i="15"/>
  <c r="P167" i="15"/>
  <c r="O167" i="15"/>
  <c r="N167" i="15"/>
  <c r="M167" i="15"/>
  <c r="L167" i="15"/>
  <c r="K167" i="15"/>
  <c r="J167" i="15"/>
  <c r="T166" i="15"/>
  <c r="R165" i="15"/>
  <c r="Q165" i="15"/>
  <c r="P165" i="15"/>
  <c r="O165" i="15"/>
  <c r="N165" i="15"/>
  <c r="M165" i="15"/>
  <c r="L165" i="15"/>
  <c r="K165" i="15"/>
  <c r="J165" i="15"/>
  <c r="R164" i="15"/>
  <c r="Q164" i="15"/>
  <c r="P164" i="15"/>
  <c r="O164" i="15"/>
  <c r="N164" i="15"/>
  <c r="M164" i="15"/>
  <c r="L164" i="15"/>
  <c r="K164" i="15"/>
  <c r="J164" i="15"/>
  <c r="T163" i="15"/>
  <c r="T162" i="15"/>
  <c r="T161" i="15"/>
  <c r="T160" i="15"/>
  <c r="T159" i="15"/>
  <c r="R158" i="15"/>
  <c r="Q158" i="15"/>
  <c r="P158" i="15"/>
  <c r="O158" i="15"/>
  <c r="N158" i="15"/>
  <c r="M158" i="15"/>
  <c r="L158" i="15"/>
  <c r="K158" i="15"/>
  <c r="J158" i="15"/>
  <c r="R157" i="15"/>
  <c r="Q157" i="15"/>
  <c r="P157" i="15"/>
  <c r="O157" i="15"/>
  <c r="N157" i="15"/>
  <c r="M157" i="15"/>
  <c r="L157" i="15"/>
  <c r="K157" i="15"/>
  <c r="J157" i="15"/>
  <c r="T156" i="15"/>
  <c r="R155" i="15"/>
  <c r="Q155" i="15"/>
  <c r="P155" i="15"/>
  <c r="O155" i="15"/>
  <c r="N155" i="15"/>
  <c r="M155" i="15"/>
  <c r="L155" i="15"/>
  <c r="K155" i="15"/>
  <c r="J155" i="15"/>
  <c r="R154" i="15"/>
  <c r="Q154" i="15"/>
  <c r="P154" i="15"/>
  <c r="O154" i="15"/>
  <c r="N154" i="15"/>
  <c r="M154" i="15"/>
  <c r="L154" i="15"/>
  <c r="K154" i="15"/>
  <c r="J154" i="15"/>
  <c r="T153" i="15"/>
  <c r="T152" i="15"/>
  <c r="T151" i="15"/>
  <c r="R150" i="15"/>
  <c r="Q150" i="15"/>
  <c r="P150" i="15"/>
  <c r="O150" i="15"/>
  <c r="N150" i="15"/>
  <c r="M150" i="15"/>
  <c r="L150" i="15"/>
  <c r="K150" i="15"/>
  <c r="J150" i="15"/>
  <c r="R149" i="15"/>
  <c r="Q149" i="15"/>
  <c r="P149" i="15"/>
  <c r="O149" i="15"/>
  <c r="N149" i="15"/>
  <c r="M149" i="15"/>
  <c r="L149" i="15"/>
  <c r="K149" i="15"/>
  <c r="J149" i="15"/>
  <c r="T148" i="15"/>
  <c r="R147" i="15"/>
  <c r="Q147" i="15"/>
  <c r="P147" i="15"/>
  <c r="O147" i="15"/>
  <c r="N147" i="15"/>
  <c r="M147" i="15"/>
  <c r="L147" i="15"/>
  <c r="K147" i="15"/>
  <c r="J147" i="15"/>
  <c r="R146" i="15"/>
  <c r="Q146" i="15"/>
  <c r="P146" i="15"/>
  <c r="O146" i="15"/>
  <c r="N146" i="15"/>
  <c r="M146" i="15"/>
  <c r="L146" i="15"/>
  <c r="K146" i="15"/>
  <c r="J146" i="15"/>
  <c r="T145" i="15"/>
  <c r="P145" i="15"/>
  <c r="P143" i="15" s="1"/>
  <c r="R144" i="15"/>
  <c r="Q144" i="15"/>
  <c r="O144" i="15"/>
  <c r="N144" i="15"/>
  <c r="M144" i="15"/>
  <c r="L144" i="15"/>
  <c r="K144" i="15"/>
  <c r="J144" i="15"/>
  <c r="R143" i="15"/>
  <c r="Q143" i="15"/>
  <c r="O143" i="15"/>
  <c r="N143" i="15"/>
  <c r="M143" i="15"/>
  <c r="L143" i="15"/>
  <c r="K143" i="15"/>
  <c r="J143" i="15"/>
  <c r="T142" i="15"/>
  <c r="T141" i="15"/>
  <c r="T140" i="15"/>
  <c r="T139" i="15"/>
  <c r="K139" i="15"/>
  <c r="K135" i="15" s="1"/>
  <c r="K134" i="15" s="1"/>
  <c r="T138" i="15"/>
  <c r="T137" i="15"/>
  <c r="T136" i="15"/>
  <c r="R135" i="15"/>
  <c r="R134" i="15" s="1"/>
  <c r="Q135" i="15"/>
  <c r="Q134" i="15" s="1"/>
  <c r="P135" i="15"/>
  <c r="P134" i="15" s="1"/>
  <c r="O135" i="15"/>
  <c r="O134" i="15" s="1"/>
  <c r="N135" i="15"/>
  <c r="N134" i="15" s="1"/>
  <c r="M135" i="15"/>
  <c r="M134" i="15" s="1"/>
  <c r="L135" i="15"/>
  <c r="L134" i="15" s="1"/>
  <c r="J135" i="15"/>
  <c r="J134" i="15" s="1"/>
  <c r="T133" i="15"/>
  <c r="P133" i="15"/>
  <c r="J133" i="15"/>
  <c r="T132" i="15"/>
  <c r="P132" i="15"/>
  <c r="J132" i="15"/>
  <c r="T131" i="15"/>
  <c r="P131" i="15"/>
  <c r="J131" i="15"/>
  <c r="T130" i="15"/>
  <c r="P130" i="15"/>
  <c r="J130" i="15"/>
  <c r="T129" i="15"/>
  <c r="P129" i="15"/>
  <c r="J129" i="15"/>
  <c r="T128" i="15"/>
  <c r="P128" i="15"/>
  <c r="J128" i="15"/>
  <c r="T127" i="15"/>
  <c r="P127" i="15"/>
  <c r="J127" i="15"/>
  <c r="T126" i="15"/>
  <c r="P126" i="15"/>
  <c r="J126" i="15"/>
  <c r="T125" i="15"/>
  <c r="P125" i="15"/>
  <c r="J125" i="15"/>
  <c r="T124" i="15"/>
  <c r="T123" i="15"/>
  <c r="P123" i="15"/>
  <c r="J123" i="15"/>
  <c r="T122" i="15"/>
  <c r="P122" i="15"/>
  <c r="P121" i="15" s="1"/>
  <c r="P120" i="15" s="1"/>
  <c r="J122" i="15"/>
  <c r="J121" i="15" s="1"/>
  <c r="J120" i="15" s="1"/>
  <c r="R121" i="15"/>
  <c r="R120" i="15" s="1"/>
  <c r="Q121" i="15"/>
  <c r="Q120" i="15" s="1"/>
  <c r="O121" i="15"/>
  <c r="O120" i="15"/>
  <c r="N121" i="15"/>
  <c r="N120" i="15" s="1"/>
  <c r="M121" i="15"/>
  <c r="M120" i="15" s="1"/>
  <c r="L121" i="15"/>
  <c r="L120" i="15" s="1"/>
  <c r="K121" i="15"/>
  <c r="K120" i="15" s="1"/>
  <c r="T119" i="15"/>
  <c r="P119" i="15"/>
  <c r="T118" i="15"/>
  <c r="P118" i="15"/>
  <c r="T117" i="15"/>
  <c r="P117" i="15"/>
  <c r="T116" i="15"/>
  <c r="P116" i="15"/>
  <c r="T115" i="15"/>
  <c r="P115" i="15"/>
  <c r="T114" i="15"/>
  <c r="P114" i="15"/>
  <c r="T113" i="15"/>
  <c r="P113" i="15"/>
  <c r="T112" i="15"/>
  <c r="P112" i="15"/>
  <c r="T111" i="15"/>
  <c r="P111" i="15"/>
  <c r="T110" i="15"/>
  <c r="P110" i="15"/>
  <c r="T109" i="15"/>
  <c r="P109" i="15"/>
  <c r="T108" i="15"/>
  <c r="P108" i="15"/>
  <c r="T107" i="15"/>
  <c r="P107" i="15"/>
  <c r="R106" i="15"/>
  <c r="R105" i="15" s="1"/>
  <c r="Q106" i="15"/>
  <c r="Q105" i="15" s="1"/>
  <c r="O106" i="15"/>
  <c r="O105" i="15" s="1"/>
  <c r="N106" i="15"/>
  <c r="N105" i="15" s="1"/>
  <c r="M106" i="15"/>
  <c r="M105" i="15" s="1"/>
  <c r="L106" i="15"/>
  <c r="L105" i="15" s="1"/>
  <c r="K106" i="15"/>
  <c r="K105" i="15" s="1"/>
  <c r="J106" i="15"/>
  <c r="J105" i="15" s="1"/>
  <c r="R104" i="15"/>
  <c r="X104" i="15" s="1"/>
  <c r="K104" i="15"/>
  <c r="L104" i="15" s="1"/>
  <c r="R103" i="15"/>
  <c r="X103" i="15" s="1"/>
  <c r="K103" i="15"/>
  <c r="L103" i="15" s="1"/>
  <c r="R102" i="15"/>
  <c r="K102" i="15"/>
  <c r="L102" i="15" s="1"/>
  <c r="R101" i="15"/>
  <c r="X101" i="15" s="1"/>
  <c r="K101" i="15"/>
  <c r="L101" i="15" s="1"/>
  <c r="R100" i="15"/>
  <c r="X100" i="15" s="1"/>
  <c r="K100" i="15"/>
  <c r="L100" i="15" s="1"/>
  <c r="R99" i="15"/>
  <c r="K99" i="15"/>
  <c r="L99" i="15" s="1"/>
  <c r="Q98" i="15"/>
  <c r="R97" i="15"/>
  <c r="X97" i="15" s="1"/>
  <c r="K97" i="15"/>
  <c r="L97" i="15" s="1"/>
  <c r="Q96" i="15"/>
  <c r="R96" i="15" s="1"/>
  <c r="R95" i="15"/>
  <c r="X95" i="15" s="1"/>
  <c r="K95" i="15"/>
  <c r="L95" i="15" s="1"/>
  <c r="R94" i="15"/>
  <c r="X94" i="15" s="1"/>
  <c r="K94" i="15"/>
  <c r="L94" i="15" s="1"/>
  <c r="P93" i="15"/>
  <c r="P92" i="15" s="1"/>
  <c r="O93" i="15"/>
  <c r="O92" i="15" s="1"/>
  <c r="N93" i="15"/>
  <c r="N92" i="15" s="1"/>
  <c r="M93" i="15"/>
  <c r="M92" i="15" s="1"/>
  <c r="J93" i="15"/>
  <c r="J92" i="15" s="1"/>
  <c r="X91" i="15"/>
  <c r="T91" i="15"/>
  <c r="Q91" i="15"/>
  <c r="R90" i="15"/>
  <c r="O90" i="15"/>
  <c r="N90" i="15"/>
  <c r="M90" i="15"/>
  <c r="L90" i="15"/>
  <c r="K90" i="15"/>
  <c r="J90" i="15"/>
  <c r="R89" i="15"/>
  <c r="X89" i="15" s="1"/>
  <c r="Q89" i="15"/>
  <c r="D89" i="15"/>
  <c r="R88" i="15"/>
  <c r="Q88" i="15"/>
  <c r="P88" i="15" s="1"/>
  <c r="D88" i="15"/>
  <c r="R87" i="15"/>
  <c r="T87" i="15" s="1"/>
  <c r="Q87" i="15"/>
  <c r="D87" i="15"/>
  <c r="R86" i="15"/>
  <c r="X86" i="15" s="1"/>
  <c r="Q86" i="15"/>
  <c r="D86" i="15"/>
  <c r="O85" i="15"/>
  <c r="N85" i="15"/>
  <c r="M85" i="15"/>
  <c r="L85" i="15"/>
  <c r="K85" i="15"/>
  <c r="J85" i="15"/>
  <c r="Q84" i="15"/>
  <c r="R84" i="15" s="1"/>
  <c r="D84" i="15"/>
  <c r="Q83" i="15"/>
  <c r="E83" i="15"/>
  <c r="D83" i="15"/>
  <c r="X82" i="15"/>
  <c r="K82" i="15"/>
  <c r="D82" i="15"/>
  <c r="P81" i="15"/>
  <c r="O81" i="15"/>
  <c r="N81" i="15"/>
  <c r="M81" i="15"/>
  <c r="J81" i="15"/>
  <c r="R80" i="15"/>
  <c r="T80" i="15" s="1"/>
  <c r="Q80" i="15"/>
  <c r="P80" i="15" s="1"/>
  <c r="Q54" i="15"/>
  <c r="D80" i="15"/>
  <c r="L79" i="15"/>
  <c r="E79" i="15"/>
  <c r="D79" i="15"/>
  <c r="L78" i="15"/>
  <c r="R78" i="15" s="1"/>
  <c r="X78" i="15" s="1"/>
  <c r="E78" i="15"/>
  <c r="D78" i="15"/>
  <c r="L77" i="15"/>
  <c r="R77" i="15" s="1"/>
  <c r="E77" i="15"/>
  <c r="D77" i="15"/>
  <c r="L76" i="15"/>
  <c r="R76" i="15" s="1"/>
  <c r="T76" i="15" s="1"/>
  <c r="E76" i="15"/>
  <c r="D76" i="15"/>
  <c r="L75" i="15"/>
  <c r="R75" i="15"/>
  <c r="E75" i="15"/>
  <c r="D75" i="15"/>
  <c r="L74" i="15"/>
  <c r="E74" i="15"/>
  <c r="D74" i="15"/>
  <c r="L73" i="15"/>
  <c r="R73" i="15" s="1"/>
  <c r="X73" i="15" s="1"/>
  <c r="E73" i="15"/>
  <c r="D73" i="15"/>
  <c r="L72" i="15"/>
  <c r="R72" i="15" s="1"/>
  <c r="E72" i="15"/>
  <c r="D72" i="15"/>
  <c r="L71" i="15"/>
  <c r="R71" i="15" s="1"/>
  <c r="E71" i="15"/>
  <c r="D71" i="15"/>
  <c r="L70" i="15"/>
  <c r="R70" i="15" s="1"/>
  <c r="E70" i="15"/>
  <c r="D70" i="15"/>
  <c r="L69" i="15"/>
  <c r="R69" i="15" s="1"/>
  <c r="E69" i="15"/>
  <c r="D69" i="15"/>
  <c r="L68" i="15"/>
  <c r="E68" i="15"/>
  <c r="D68" i="15"/>
  <c r="L67" i="15"/>
  <c r="R67" i="15" s="1"/>
  <c r="X67" i="15" s="1"/>
  <c r="E67" i="15"/>
  <c r="D67" i="15"/>
  <c r="L66" i="15"/>
  <c r="R66" i="15" s="1"/>
  <c r="P66" i="15" s="1"/>
  <c r="E66" i="15"/>
  <c r="D66" i="15"/>
  <c r="L65" i="15"/>
  <c r="R65" i="15" s="1"/>
  <c r="E65" i="15"/>
  <c r="D65" i="15"/>
  <c r="L64" i="15"/>
  <c r="E64" i="15"/>
  <c r="D64" i="15"/>
  <c r="L63" i="15"/>
  <c r="R63" i="15" s="1"/>
  <c r="P63" i="15" s="1"/>
  <c r="E63" i="15"/>
  <c r="D63" i="15"/>
  <c r="L62" i="15"/>
  <c r="R62" i="15" s="1"/>
  <c r="E62" i="15"/>
  <c r="D62" i="15"/>
  <c r="L61" i="15"/>
  <c r="R61" i="15" s="1"/>
  <c r="P61" i="15" s="1"/>
  <c r="E61" i="15"/>
  <c r="D61" i="15"/>
  <c r="L60" i="15"/>
  <c r="R60" i="15" s="1"/>
  <c r="E60" i="15"/>
  <c r="D60" i="15"/>
  <c r="L59" i="15"/>
  <c r="E59" i="15"/>
  <c r="D59" i="15"/>
  <c r="L58" i="15"/>
  <c r="R58" i="15" s="1"/>
  <c r="X58" i="15" s="1"/>
  <c r="E58" i="15"/>
  <c r="D58" i="15"/>
  <c r="L57" i="15"/>
  <c r="E57" i="15"/>
  <c r="D57" i="15"/>
  <c r="L56" i="15"/>
  <c r="E56" i="15"/>
  <c r="D56" i="15"/>
  <c r="L55" i="15"/>
  <c r="R55" i="15" s="1"/>
  <c r="X55" i="15" s="1"/>
  <c r="E55" i="15"/>
  <c r="D55" i="15"/>
  <c r="O54" i="15"/>
  <c r="N54" i="15"/>
  <c r="M54" i="15"/>
  <c r="K54" i="15"/>
  <c r="J54" i="15"/>
  <c r="X53" i="15"/>
  <c r="P53" i="15"/>
  <c r="K53" i="15"/>
  <c r="L53" i="15" s="1"/>
  <c r="T53" i="15" s="1"/>
  <c r="D53" i="15"/>
  <c r="X52" i="15"/>
  <c r="P52" i="15"/>
  <c r="K52" i="15"/>
  <c r="L52" i="15" s="1"/>
  <c r="T52" i="15" s="1"/>
  <c r="D52" i="15"/>
  <c r="X51" i="15"/>
  <c r="P51" i="15"/>
  <c r="K51" i="15"/>
  <c r="L51" i="15" s="1"/>
  <c r="T51" i="15" s="1"/>
  <c r="D51" i="15"/>
  <c r="X50" i="15"/>
  <c r="P50" i="15"/>
  <c r="K50" i="15"/>
  <c r="L50" i="15" s="1"/>
  <c r="T50" i="15" s="1"/>
  <c r="D50" i="15"/>
  <c r="X49" i="15"/>
  <c r="P49" i="15"/>
  <c r="K49" i="15"/>
  <c r="L49" i="15" s="1"/>
  <c r="T49" i="15" s="1"/>
  <c r="D49" i="15"/>
  <c r="X48" i="15"/>
  <c r="P48" i="15"/>
  <c r="K48" i="15"/>
  <c r="L48" i="15" s="1"/>
  <c r="T48" i="15" s="1"/>
  <c r="D48" i="15"/>
  <c r="X47" i="15"/>
  <c r="P47" i="15"/>
  <c r="K47" i="15"/>
  <c r="L47" i="15" s="1"/>
  <c r="T47" i="15" s="1"/>
  <c r="D47" i="15"/>
  <c r="X46" i="15"/>
  <c r="P46" i="15"/>
  <c r="K46" i="15"/>
  <c r="L46" i="15" s="1"/>
  <c r="T46" i="15" s="1"/>
  <c r="D46" i="15"/>
  <c r="X45" i="15"/>
  <c r="P45" i="15"/>
  <c r="K45" i="15"/>
  <c r="L45" i="15" s="1"/>
  <c r="T45" i="15" s="1"/>
  <c r="D45" i="15"/>
  <c r="X44" i="15"/>
  <c r="P44" i="15"/>
  <c r="K44" i="15"/>
  <c r="L44" i="15" s="1"/>
  <c r="T44" i="15" s="1"/>
  <c r="D44" i="15"/>
  <c r="R43" i="15"/>
  <c r="X43" i="15" s="1"/>
  <c r="K43" i="15"/>
  <c r="L43" i="15" s="1"/>
  <c r="D43" i="15"/>
  <c r="R42" i="15"/>
  <c r="K42" i="15"/>
  <c r="L42" i="15" s="1"/>
  <c r="D42" i="15"/>
  <c r="R41" i="15"/>
  <c r="K41" i="15"/>
  <c r="L41" i="15" s="1"/>
  <c r="D41" i="15"/>
  <c r="R40" i="15"/>
  <c r="K40" i="15"/>
  <c r="D40" i="15"/>
  <c r="X39" i="15"/>
  <c r="P39" i="15"/>
  <c r="K39" i="15"/>
  <c r="D39" i="15"/>
  <c r="X38" i="15"/>
  <c r="P38" i="15"/>
  <c r="K38" i="15"/>
  <c r="L38" i="15" s="1"/>
  <c r="T38" i="15" s="1"/>
  <c r="D38" i="15"/>
  <c r="X37" i="15"/>
  <c r="P37" i="15"/>
  <c r="K37" i="15"/>
  <c r="D37" i="15"/>
  <c r="Q36" i="15"/>
  <c r="O36" i="15"/>
  <c r="N36" i="15"/>
  <c r="M36" i="15"/>
  <c r="J36" i="15"/>
  <c r="P34" i="15"/>
  <c r="K34" i="15"/>
  <c r="L34" i="15" s="1"/>
  <c r="T34" i="15" s="1"/>
  <c r="P33" i="15"/>
  <c r="K33" i="15"/>
  <c r="L33" i="15" s="1"/>
  <c r="T33" i="15" s="1"/>
  <c r="P32" i="15"/>
  <c r="K32" i="15"/>
  <c r="L32" i="15" s="1"/>
  <c r="T32" i="15" s="1"/>
  <c r="P31" i="15"/>
  <c r="K31" i="15"/>
  <c r="L31" i="15" s="1"/>
  <c r="T31" i="15" s="1"/>
  <c r="P30" i="15"/>
  <c r="K30" i="15"/>
  <c r="L30" i="15" s="1"/>
  <c r="T30" i="15" s="1"/>
  <c r="P29" i="15"/>
  <c r="K29" i="15"/>
  <c r="L29" i="15" s="1"/>
  <c r="T29" i="15" s="1"/>
  <c r="P28" i="15"/>
  <c r="K28" i="15"/>
  <c r="L28" i="15" s="1"/>
  <c r="T27" i="15"/>
  <c r="P27" i="15"/>
  <c r="K27" i="15"/>
  <c r="P26" i="15"/>
  <c r="K26" i="15"/>
  <c r="R25" i="15"/>
  <c r="Q25" i="15"/>
  <c r="O25" i="15"/>
  <c r="N25" i="15"/>
  <c r="M25" i="15"/>
  <c r="J25" i="15"/>
  <c r="P24" i="15"/>
  <c r="K24" i="15"/>
  <c r="L24" i="15" s="1"/>
  <c r="T24" i="15" s="1"/>
  <c r="P23" i="15"/>
  <c r="K23" i="15"/>
  <c r="L23" i="15" s="1"/>
  <c r="T23" i="15" s="1"/>
  <c r="P22" i="15"/>
  <c r="K22" i="15"/>
  <c r="L22" i="15" s="1"/>
  <c r="T22" i="15" s="1"/>
  <c r="P21" i="15"/>
  <c r="K21" i="15"/>
  <c r="L21" i="15" s="1"/>
  <c r="T21" i="15" s="1"/>
  <c r="P20" i="15"/>
  <c r="K20" i="15"/>
  <c r="L20" i="15" s="1"/>
  <c r="T20" i="15" s="1"/>
  <c r="P19" i="15"/>
  <c r="K19" i="15"/>
  <c r="L19" i="15" s="1"/>
  <c r="T19" i="15" s="1"/>
  <c r="P18" i="15"/>
  <c r="K18" i="15"/>
  <c r="L18" i="15" s="1"/>
  <c r="T18" i="15" s="1"/>
  <c r="P17" i="15"/>
  <c r="K17" i="15"/>
  <c r="L17" i="15" s="1"/>
  <c r="T17" i="15" s="1"/>
  <c r="P16" i="15"/>
  <c r="K16" i="15"/>
  <c r="L16" i="15" s="1"/>
  <c r="T16" i="15" s="1"/>
  <c r="P15" i="15"/>
  <c r="M15" i="15"/>
  <c r="M13" i="15" s="1"/>
  <c r="K15" i="15"/>
  <c r="L15" i="15" s="1"/>
  <c r="A15" i="15"/>
  <c r="P14" i="15"/>
  <c r="K14" i="15"/>
  <c r="R13" i="15"/>
  <c r="Q13" i="15"/>
  <c r="Q12" i="15" s="1"/>
  <c r="O13" i="15"/>
  <c r="N13" i="15"/>
  <c r="J13" i="15"/>
  <c r="T5" i="15"/>
  <c r="X14" i="14"/>
  <c r="X13" i="14" s="1"/>
  <c r="P13" i="14"/>
  <c r="G13" i="14"/>
  <c r="T13" i="14"/>
  <c r="S13" i="14"/>
  <c r="O13" i="14"/>
  <c r="N13" i="14"/>
  <c r="M13" i="14"/>
  <c r="L13" i="14"/>
  <c r="K13" i="14"/>
  <c r="J13" i="14"/>
  <c r="I13" i="14"/>
  <c r="H13" i="14"/>
  <c r="E42" i="2"/>
  <c r="H16" i="2"/>
  <c r="Z26" i="8"/>
  <c r="I25" i="8"/>
  <c r="H25" i="8" s="1"/>
  <c r="D25" i="8"/>
  <c r="I24" i="8"/>
  <c r="H24" i="8" s="1"/>
  <c r="D24" i="8"/>
  <c r="I23" i="8"/>
  <c r="H23" i="8" s="1"/>
  <c r="D23" i="8"/>
  <c r="I22" i="8"/>
  <c r="H22" i="8" s="1"/>
  <c r="D22" i="8"/>
  <c r="I21" i="8"/>
  <c r="H21" i="8" s="1"/>
  <c r="D21" i="8"/>
  <c r="I20" i="8"/>
  <c r="H20" i="8" s="1"/>
  <c r="D20" i="8"/>
  <c r="I19" i="8"/>
  <c r="H19" i="8" s="1"/>
  <c r="D19" i="8"/>
  <c r="I18" i="8"/>
  <c r="H18" i="8" s="1"/>
  <c r="D18" i="8"/>
  <c r="I17" i="8"/>
  <c r="H17" i="8" s="1"/>
  <c r="D17" i="8"/>
  <c r="I16" i="8"/>
  <c r="H16" i="8" s="1"/>
  <c r="D16" i="8"/>
  <c r="I15" i="8"/>
  <c r="H15" i="8" s="1"/>
  <c r="D15" i="8"/>
  <c r="I14" i="8"/>
  <c r="H14" i="8" s="1"/>
  <c r="D14" i="8"/>
  <c r="I13" i="8"/>
  <c r="H13" i="8" s="1"/>
  <c r="D13" i="8"/>
  <c r="N12" i="8"/>
  <c r="M12" i="8"/>
  <c r="L12" i="8"/>
  <c r="K12" i="8"/>
  <c r="J12" i="8"/>
  <c r="E12" i="8"/>
  <c r="R9" i="8"/>
  <c r="R8" i="8" s="1"/>
  <c r="R7" i="8"/>
  <c r="V5" i="8"/>
  <c r="U5" i="8"/>
  <c r="W5" i="8" s="1"/>
  <c r="X5" i="8" s="1"/>
  <c r="X12" i="8" s="1"/>
  <c r="X26" i="8" s="1"/>
  <c r="A5" i="8"/>
  <c r="S3" i="8"/>
  <c r="T2" i="8"/>
  <c r="T3" i="8" s="1"/>
  <c r="I14" i="2"/>
  <c r="I11" i="2"/>
  <c r="O201" i="6"/>
  <c r="E33" i="2"/>
  <c r="E32" i="2"/>
  <c r="R88" i="7"/>
  <c r="P13" i="6"/>
  <c r="J75" i="7"/>
  <c r="K75" i="7"/>
  <c r="L75" i="7"/>
  <c r="M75" i="7"/>
  <c r="N75" i="7"/>
  <c r="O75" i="7"/>
  <c r="P75" i="7"/>
  <c r="Q75" i="7"/>
  <c r="I75" i="7"/>
  <c r="J71" i="7"/>
  <c r="K71" i="7"/>
  <c r="L71" i="7"/>
  <c r="M71" i="7"/>
  <c r="N71" i="7"/>
  <c r="O71" i="7"/>
  <c r="P71" i="7"/>
  <c r="Q71" i="7"/>
  <c r="I71" i="7"/>
  <c r="J72" i="7"/>
  <c r="K72" i="7"/>
  <c r="L72" i="7"/>
  <c r="M72" i="7"/>
  <c r="N72" i="7"/>
  <c r="O72" i="7"/>
  <c r="P72" i="7"/>
  <c r="Q72" i="7"/>
  <c r="I72" i="7"/>
  <c r="I74" i="7"/>
  <c r="J51" i="7"/>
  <c r="J50" i="7" s="1"/>
  <c r="K51" i="7"/>
  <c r="K50" i="7" s="1"/>
  <c r="L51" i="7"/>
  <c r="L50" i="7" s="1"/>
  <c r="M51" i="7"/>
  <c r="M50" i="7" s="1"/>
  <c r="N51" i="7"/>
  <c r="N50" i="7" s="1"/>
  <c r="J74" i="7"/>
  <c r="K74" i="7"/>
  <c r="L74" i="7"/>
  <c r="M74" i="7"/>
  <c r="N74" i="7"/>
  <c r="O74" i="7"/>
  <c r="P74" i="7"/>
  <c r="Q74" i="7"/>
  <c r="K17" i="7"/>
  <c r="I19" i="7"/>
  <c r="O121" i="7"/>
  <c r="O120" i="7"/>
  <c r="O119" i="7"/>
  <c r="O118" i="7"/>
  <c r="O117" i="7"/>
  <c r="O116" i="7"/>
  <c r="Q115" i="7"/>
  <c r="P115" i="7"/>
  <c r="N115" i="7"/>
  <c r="M115" i="7"/>
  <c r="L115" i="7"/>
  <c r="K115" i="7"/>
  <c r="J115" i="7"/>
  <c r="I115" i="7"/>
  <c r="Q112" i="7"/>
  <c r="P112" i="7"/>
  <c r="O112" i="7"/>
  <c r="N112" i="7"/>
  <c r="M112" i="7"/>
  <c r="L112" i="7"/>
  <c r="K112" i="7"/>
  <c r="J112" i="7"/>
  <c r="I112" i="7"/>
  <c r="Q110" i="7"/>
  <c r="P110" i="7"/>
  <c r="O110" i="7"/>
  <c r="N110" i="7"/>
  <c r="M110" i="7"/>
  <c r="L110" i="7"/>
  <c r="K110" i="7"/>
  <c r="J110" i="7"/>
  <c r="I110" i="7"/>
  <c r="O109" i="7"/>
  <c r="T108" i="7"/>
  <c r="O108" i="7"/>
  <c r="Q107" i="7"/>
  <c r="P107" i="7"/>
  <c r="N107" i="7"/>
  <c r="M107" i="7"/>
  <c r="L107" i="7"/>
  <c r="K107" i="7"/>
  <c r="J107" i="7"/>
  <c r="I107" i="7"/>
  <c r="Q105" i="7"/>
  <c r="P105" i="7"/>
  <c r="O105" i="7"/>
  <c r="N105" i="7"/>
  <c r="M105" i="7"/>
  <c r="L105" i="7"/>
  <c r="K105" i="7"/>
  <c r="J105" i="7"/>
  <c r="I105" i="7"/>
  <c r="O104" i="7"/>
  <c r="O103" i="7" s="1"/>
  <c r="Q103" i="7"/>
  <c r="P103" i="7"/>
  <c r="N103" i="7"/>
  <c r="M103" i="7"/>
  <c r="L103" i="7"/>
  <c r="K103" i="7"/>
  <c r="J103" i="7"/>
  <c r="I103" i="7"/>
  <c r="Q98" i="7"/>
  <c r="P98" i="7"/>
  <c r="O98" i="7"/>
  <c r="N98" i="7"/>
  <c r="M98" i="7"/>
  <c r="L98" i="7"/>
  <c r="K98" i="7"/>
  <c r="J98" i="7"/>
  <c r="I98" i="7"/>
  <c r="O97" i="7"/>
  <c r="O96" i="7"/>
  <c r="O95" i="7"/>
  <c r="O94" i="7"/>
  <c r="O93" i="7"/>
  <c r="O92" i="7"/>
  <c r="O91" i="7"/>
  <c r="O90" i="7"/>
  <c r="Q89" i="7"/>
  <c r="P89" i="7"/>
  <c r="N89" i="7"/>
  <c r="M89" i="7"/>
  <c r="L89" i="7"/>
  <c r="K89" i="7"/>
  <c r="J89" i="7"/>
  <c r="I89" i="7"/>
  <c r="Q64" i="7"/>
  <c r="P64" i="7"/>
  <c r="O64" i="7"/>
  <c r="N64" i="7"/>
  <c r="M64" i="7"/>
  <c r="L64" i="7"/>
  <c r="K64" i="7"/>
  <c r="J64" i="7"/>
  <c r="I64" i="7"/>
  <c r="J62" i="7"/>
  <c r="J61" i="7" s="1"/>
  <c r="Q62" i="7"/>
  <c r="Q61" i="7" s="1"/>
  <c r="P62" i="7"/>
  <c r="P61" i="7" s="1"/>
  <c r="O62" i="7"/>
  <c r="O61" i="7" s="1"/>
  <c r="N62" i="7"/>
  <c r="N61" i="7" s="1"/>
  <c r="M62" i="7"/>
  <c r="M61" i="7" s="1"/>
  <c r="L62" i="7"/>
  <c r="L61" i="7" s="1"/>
  <c r="K62" i="7"/>
  <c r="K61" i="7" s="1"/>
  <c r="I62" i="7"/>
  <c r="I61" i="7" s="1"/>
  <c r="O60" i="7"/>
  <c r="O59" i="7" s="1"/>
  <c r="O58" i="7" s="1"/>
  <c r="I60" i="7"/>
  <c r="I59" i="7" s="1"/>
  <c r="I58" i="7" s="1"/>
  <c r="Q59" i="7"/>
  <c r="Q58" i="7" s="1"/>
  <c r="P59" i="7"/>
  <c r="P58" i="7" s="1"/>
  <c r="N59" i="7"/>
  <c r="N58" i="7" s="1"/>
  <c r="M59" i="7"/>
  <c r="M58" i="7" s="1"/>
  <c r="L59" i="7"/>
  <c r="L58" i="7" s="1"/>
  <c r="K59" i="7"/>
  <c r="K58" i="7" s="1"/>
  <c r="J59" i="7"/>
  <c r="J58" i="7" s="1"/>
  <c r="Q57" i="7"/>
  <c r="K57" i="7"/>
  <c r="Q56" i="7"/>
  <c r="I56" i="7"/>
  <c r="I54" i="7"/>
  <c r="I53" i="7" s="1"/>
  <c r="K55" i="7"/>
  <c r="P54" i="7"/>
  <c r="P53" i="7" s="1"/>
  <c r="N54" i="7"/>
  <c r="N53" i="7" s="1"/>
  <c r="M54" i="7"/>
  <c r="M53" i="7" s="1"/>
  <c r="L54" i="7"/>
  <c r="L53" i="7" s="1"/>
  <c r="O52" i="7"/>
  <c r="O51" i="7" s="1"/>
  <c r="O50" i="7" s="1"/>
  <c r="D52" i="7"/>
  <c r="I51" i="7"/>
  <c r="I50" i="7" s="1"/>
  <c r="T50" i="7" s="1"/>
  <c r="I49" i="7"/>
  <c r="I48" i="7"/>
  <c r="I47" i="7"/>
  <c r="O46" i="7"/>
  <c r="I46" i="7"/>
  <c r="O45" i="7"/>
  <c r="I45" i="7"/>
  <c r="O44" i="7"/>
  <c r="I44" i="7"/>
  <c r="O43" i="7"/>
  <c r="I43" i="7"/>
  <c r="O42" i="7"/>
  <c r="I42" i="7"/>
  <c r="O41" i="7"/>
  <c r="I41" i="7"/>
  <c r="O40" i="7"/>
  <c r="I40" i="7"/>
  <c r="O39" i="7"/>
  <c r="I39" i="7"/>
  <c r="O38" i="7"/>
  <c r="I38" i="7"/>
  <c r="O37" i="7"/>
  <c r="I37" i="7"/>
  <c r="I36" i="7"/>
  <c r="I34" i="7"/>
  <c r="I33" i="7"/>
  <c r="P32" i="7"/>
  <c r="O32" i="7"/>
  <c r="J32" i="7"/>
  <c r="I32" i="7" s="1"/>
  <c r="P31" i="7"/>
  <c r="O31" i="7"/>
  <c r="J31" i="7"/>
  <c r="O30" i="7"/>
  <c r="I30" i="7"/>
  <c r="O29" i="7"/>
  <c r="I29" i="7"/>
  <c r="O28" i="7"/>
  <c r="I28" i="7"/>
  <c r="O27" i="7"/>
  <c r="I27" i="7"/>
  <c r="Q17" i="7"/>
  <c r="N17" i="7"/>
  <c r="M17" i="7"/>
  <c r="L17" i="7"/>
  <c r="O16" i="7"/>
  <c r="Q15" i="7"/>
  <c r="Q13" i="7" s="1"/>
  <c r="Q12" i="7" s="1"/>
  <c r="I15" i="7"/>
  <c r="I13" i="7" s="1"/>
  <c r="N13" i="7"/>
  <c r="M13" i="7"/>
  <c r="L13" i="7"/>
  <c r="J13" i="7"/>
  <c r="J138" i="6"/>
  <c r="Q314" i="6"/>
  <c r="P314" i="6"/>
  <c r="N314" i="6"/>
  <c r="M314" i="6"/>
  <c r="L314" i="6"/>
  <c r="K314" i="6"/>
  <c r="J314" i="6"/>
  <c r="I314" i="6"/>
  <c r="O310" i="6"/>
  <c r="Q310" i="6"/>
  <c r="P310" i="6"/>
  <c r="N310" i="6"/>
  <c r="M310" i="6"/>
  <c r="L310" i="6"/>
  <c r="K310" i="6"/>
  <c r="J310" i="6"/>
  <c r="I310" i="6"/>
  <c r="Q303" i="6"/>
  <c r="P303" i="6"/>
  <c r="O303" i="6"/>
  <c r="N303" i="6"/>
  <c r="M303" i="6"/>
  <c r="L303" i="6"/>
  <c r="K303" i="6"/>
  <c r="J303" i="6"/>
  <c r="I303" i="6"/>
  <c r="Q296" i="6"/>
  <c r="P296" i="6"/>
  <c r="O296" i="6"/>
  <c r="N296" i="6"/>
  <c r="M296" i="6"/>
  <c r="L296" i="6"/>
  <c r="K296" i="6"/>
  <c r="J296" i="6"/>
  <c r="I296" i="6"/>
  <c r="Q288" i="6"/>
  <c r="P288" i="6"/>
  <c r="N288" i="6"/>
  <c r="M288" i="6"/>
  <c r="L288" i="6"/>
  <c r="K288" i="6"/>
  <c r="J288" i="6"/>
  <c r="I288" i="6"/>
  <c r="S287" i="6"/>
  <c r="S286" i="6"/>
  <c r="S285" i="6"/>
  <c r="S280" i="6"/>
  <c r="S278" i="6"/>
  <c r="Q277" i="6"/>
  <c r="P277" i="6"/>
  <c r="N277" i="6"/>
  <c r="M277" i="6"/>
  <c r="L277" i="6"/>
  <c r="K277" i="6"/>
  <c r="J277" i="6"/>
  <c r="I277" i="6"/>
  <c r="Q273" i="6"/>
  <c r="P273" i="6"/>
  <c r="O273" i="6"/>
  <c r="N273" i="6"/>
  <c r="M273" i="6"/>
  <c r="L273" i="6"/>
  <c r="K273" i="6"/>
  <c r="J273" i="6"/>
  <c r="I273" i="6"/>
  <c r="Q270" i="6"/>
  <c r="P270" i="6"/>
  <c r="O270" i="6"/>
  <c r="N270" i="6"/>
  <c r="M270" i="6"/>
  <c r="L270" i="6"/>
  <c r="K270" i="6"/>
  <c r="J270" i="6"/>
  <c r="I270" i="6"/>
  <c r="Q266" i="6"/>
  <c r="P266" i="6"/>
  <c r="N266" i="6"/>
  <c r="M266" i="6"/>
  <c r="L266" i="6"/>
  <c r="K266" i="6"/>
  <c r="J266" i="6"/>
  <c r="I266" i="6"/>
  <c r="Q263" i="6"/>
  <c r="P263" i="6"/>
  <c r="N263" i="6"/>
  <c r="M263" i="6"/>
  <c r="L263" i="6"/>
  <c r="K263" i="6"/>
  <c r="J263" i="6"/>
  <c r="I263" i="6"/>
  <c r="O262" i="6"/>
  <c r="I262" i="6"/>
  <c r="O261" i="6"/>
  <c r="I261" i="6"/>
  <c r="Q259" i="6"/>
  <c r="P259" i="6"/>
  <c r="N259" i="6"/>
  <c r="M259" i="6"/>
  <c r="L259" i="6"/>
  <c r="K259" i="6"/>
  <c r="J259" i="6"/>
  <c r="Q250" i="6"/>
  <c r="P250" i="6"/>
  <c r="O250" i="6"/>
  <c r="N250" i="6"/>
  <c r="M250" i="6"/>
  <c r="L250" i="6"/>
  <c r="K250" i="6"/>
  <c r="J250" i="6"/>
  <c r="I250" i="6"/>
  <c r="Q240" i="6"/>
  <c r="P240" i="6"/>
  <c r="N240" i="6"/>
  <c r="M240" i="6"/>
  <c r="L240" i="6"/>
  <c r="K240" i="6"/>
  <c r="J240" i="6"/>
  <c r="I240" i="6"/>
  <c r="Q233" i="6"/>
  <c r="P233" i="6"/>
  <c r="N233" i="6"/>
  <c r="M233" i="6"/>
  <c r="L233" i="6"/>
  <c r="K233" i="6"/>
  <c r="J233" i="6"/>
  <c r="I233" i="6"/>
  <c r="Q221" i="6"/>
  <c r="P221" i="6"/>
  <c r="O221" i="6"/>
  <c r="N221" i="6"/>
  <c r="M221" i="6"/>
  <c r="L221" i="6"/>
  <c r="K221" i="6"/>
  <c r="J221" i="6"/>
  <c r="I221" i="6"/>
  <c r="Q216" i="6"/>
  <c r="P216" i="6"/>
  <c r="O216" i="6"/>
  <c r="N216" i="6"/>
  <c r="M216" i="6"/>
  <c r="L216" i="6"/>
  <c r="K216" i="6"/>
  <c r="J216" i="6"/>
  <c r="I216" i="6"/>
  <c r="Q213" i="6"/>
  <c r="P213" i="6"/>
  <c r="O213" i="6"/>
  <c r="N213" i="6"/>
  <c r="M213" i="6"/>
  <c r="L213" i="6"/>
  <c r="K213" i="6"/>
  <c r="J213" i="6"/>
  <c r="I213" i="6"/>
  <c r="Q201" i="6"/>
  <c r="P201" i="6"/>
  <c r="N201" i="6"/>
  <c r="M201" i="6"/>
  <c r="L201" i="6"/>
  <c r="K201" i="6"/>
  <c r="J201" i="6"/>
  <c r="I201" i="6"/>
  <c r="Q198" i="6"/>
  <c r="P198" i="6"/>
  <c r="O198" i="6"/>
  <c r="N198" i="6"/>
  <c r="M198" i="6"/>
  <c r="L198" i="6"/>
  <c r="K198" i="6"/>
  <c r="J198" i="6"/>
  <c r="I198" i="6"/>
  <c r="Q193" i="6"/>
  <c r="P193" i="6"/>
  <c r="O193" i="6"/>
  <c r="N193" i="6"/>
  <c r="M193" i="6"/>
  <c r="L193" i="6"/>
  <c r="K193" i="6"/>
  <c r="J193" i="6"/>
  <c r="I193" i="6"/>
  <c r="Q190" i="6"/>
  <c r="P190" i="6"/>
  <c r="O190" i="6"/>
  <c r="N190" i="6"/>
  <c r="M190" i="6"/>
  <c r="L190" i="6"/>
  <c r="K190" i="6"/>
  <c r="J190" i="6"/>
  <c r="I190" i="6"/>
  <c r="Q187" i="6"/>
  <c r="P187" i="6"/>
  <c r="O187" i="6"/>
  <c r="N187" i="6"/>
  <c r="M187" i="6"/>
  <c r="L187" i="6"/>
  <c r="K187" i="6"/>
  <c r="J187" i="6"/>
  <c r="I187" i="6"/>
  <c r="J182" i="6"/>
  <c r="J178" i="6" s="1"/>
  <c r="J177" i="6" s="1"/>
  <c r="A180" i="6"/>
  <c r="A181" i="6" s="1"/>
  <c r="Q178" i="6"/>
  <c r="Q177" i="6" s="1"/>
  <c r="P178" i="6"/>
  <c r="P177" i="6" s="1"/>
  <c r="O178" i="6"/>
  <c r="O177" i="6" s="1"/>
  <c r="N178" i="6"/>
  <c r="N177" i="6" s="1"/>
  <c r="M178" i="6"/>
  <c r="M177" i="6" s="1"/>
  <c r="L178" i="6"/>
  <c r="L177" i="6" s="1"/>
  <c r="K178" i="6"/>
  <c r="K177" i="6" s="1"/>
  <c r="I178" i="6"/>
  <c r="I177" i="6" s="1"/>
  <c r="I176" i="6"/>
  <c r="I175" i="6"/>
  <c r="I174" i="6"/>
  <c r="I173" i="6"/>
  <c r="I172" i="6"/>
  <c r="I171" i="6"/>
  <c r="I170" i="6"/>
  <c r="I169" i="6"/>
  <c r="I168" i="6"/>
  <c r="I167" i="6"/>
  <c r="I166" i="6"/>
  <c r="I165" i="6"/>
  <c r="A165" i="6"/>
  <c r="A166" i="6" s="1"/>
  <c r="A167" i="6" s="1"/>
  <c r="I164" i="6"/>
  <c r="Q163" i="6"/>
  <c r="Q162" i="6" s="1"/>
  <c r="P163" i="6"/>
  <c r="P162" i="6" s="1"/>
  <c r="N163" i="6"/>
  <c r="N162" i="6" s="1"/>
  <c r="M163" i="6"/>
  <c r="M162" i="6" s="1"/>
  <c r="L163" i="6"/>
  <c r="L162" i="6" s="1"/>
  <c r="K163" i="6"/>
  <c r="K162" i="6" s="1"/>
  <c r="J163" i="6"/>
  <c r="J162" i="6" s="1"/>
  <c r="A150" i="6"/>
  <c r="Q148" i="6"/>
  <c r="Q147" i="6" s="1"/>
  <c r="P148" i="6"/>
  <c r="P147" i="6" s="1"/>
  <c r="N148" i="6"/>
  <c r="N147" i="6" s="1"/>
  <c r="M148" i="6"/>
  <c r="M147" i="6" s="1"/>
  <c r="L148" i="6"/>
  <c r="L147" i="6" s="1"/>
  <c r="K148" i="6"/>
  <c r="K147" i="6" s="1"/>
  <c r="J148" i="6"/>
  <c r="J147" i="6" s="1"/>
  <c r="I148" i="6"/>
  <c r="I147" i="6" s="1"/>
  <c r="K146" i="6"/>
  <c r="K145" i="6"/>
  <c r="I144" i="6"/>
  <c r="K144" i="6" s="1"/>
  <c r="I143" i="6"/>
  <c r="I142" i="6"/>
  <c r="K142" i="6"/>
  <c r="I141" i="6"/>
  <c r="K141" i="6" s="1"/>
  <c r="I140" i="6"/>
  <c r="K139" i="6"/>
  <c r="K137" i="6"/>
  <c r="K136" i="6"/>
  <c r="K134" i="6"/>
  <c r="A134" i="6"/>
  <c r="A135" i="6" s="1"/>
  <c r="A136" i="6" s="1"/>
  <c r="K133" i="6"/>
  <c r="P132" i="6"/>
  <c r="P131" i="6"/>
  <c r="N132" i="6"/>
  <c r="N131" i="6" s="1"/>
  <c r="M132" i="6"/>
  <c r="M131" i="6" s="1"/>
  <c r="L132" i="6"/>
  <c r="L131" i="6" s="1"/>
  <c r="Q129" i="6"/>
  <c r="P130" i="6"/>
  <c r="P129" i="6" s="1"/>
  <c r="N129" i="6"/>
  <c r="M129" i="6"/>
  <c r="L129" i="6"/>
  <c r="K129" i="6"/>
  <c r="J129" i="6"/>
  <c r="I129" i="6"/>
  <c r="P124" i="6"/>
  <c r="D128" i="6"/>
  <c r="D127" i="6"/>
  <c r="D126" i="6"/>
  <c r="D125" i="6"/>
  <c r="N124" i="6"/>
  <c r="M124" i="6"/>
  <c r="L124" i="6"/>
  <c r="K124" i="6"/>
  <c r="J124" i="6"/>
  <c r="I124" i="6"/>
  <c r="D123" i="6"/>
  <c r="D122" i="6"/>
  <c r="D121" i="6"/>
  <c r="K120" i="6"/>
  <c r="K119" i="6" s="1"/>
  <c r="D120" i="6"/>
  <c r="N119" i="6"/>
  <c r="M119" i="6"/>
  <c r="L119" i="6"/>
  <c r="J119" i="6"/>
  <c r="I119" i="6"/>
  <c r="P118" i="6"/>
  <c r="P92" i="6" s="1"/>
  <c r="D118" i="6"/>
  <c r="K117" i="6"/>
  <c r="D117" i="6"/>
  <c r="K116" i="6"/>
  <c r="D116" i="6"/>
  <c r="K115" i="6"/>
  <c r="D115" i="6"/>
  <c r="K114" i="6"/>
  <c r="D114" i="6"/>
  <c r="K113" i="6"/>
  <c r="D113" i="6"/>
  <c r="K112" i="6"/>
  <c r="D112" i="6"/>
  <c r="K111" i="6"/>
  <c r="D111" i="6"/>
  <c r="K110" i="6"/>
  <c r="D110" i="6"/>
  <c r="K109" i="6"/>
  <c r="D109" i="6"/>
  <c r="K108" i="6"/>
  <c r="D108" i="6"/>
  <c r="K107" i="6"/>
  <c r="D107" i="6"/>
  <c r="K106" i="6"/>
  <c r="D106" i="6"/>
  <c r="K105" i="6"/>
  <c r="D105" i="6"/>
  <c r="K104" i="6"/>
  <c r="D104" i="6"/>
  <c r="K103" i="6"/>
  <c r="D103" i="6"/>
  <c r="K102" i="6"/>
  <c r="D102" i="6"/>
  <c r="K101" i="6"/>
  <c r="D101" i="6"/>
  <c r="K100" i="6"/>
  <c r="D100" i="6"/>
  <c r="K99" i="6"/>
  <c r="D99" i="6"/>
  <c r="K98" i="6"/>
  <c r="D98" i="6"/>
  <c r="K97" i="6"/>
  <c r="D97" i="6"/>
  <c r="K96" i="6"/>
  <c r="D96" i="6"/>
  <c r="K95" i="6"/>
  <c r="D95" i="6"/>
  <c r="K94" i="6"/>
  <c r="D94" i="6"/>
  <c r="K93" i="6"/>
  <c r="D93" i="6"/>
  <c r="N92" i="6"/>
  <c r="M92" i="6"/>
  <c r="L92" i="6"/>
  <c r="J92" i="6"/>
  <c r="I92" i="6"/>
  <c r="K91" i="6"/>
  <c r="K74" i="6" s="1"/>
  <c r="D91" i="6"/>
  <c r="D90" i="6"/>
  <c r="D89" i="6"/>
  <c r="D88" i="6"/>
  <c r="D87" i="6"/>
  <c r="D86" i="6"/>
  <c r="D85" i="6"/>
  <c r="J84" i="6"/>
  <c r="D84" i="6"/>
  <c r="J83" i="6"/>
  <c r="D83" i="6"/>
  <c r="D82" i="6"/>
  <c r="J81" i="6"/>
  <c r="D81" i="6"/>
  <c r="J80" i="6"/>
  <c r="D80" i="6"/>
  <c r="D79" i="6"/>
  <c r="D78" i="6"/>
  <c r="D77" i="6"/>
  <c r="J76" i="6"/>
  <c r="D76" i="6"/>
  <c r="A76" i="6"/>
  <c r="A77" i="6" s="1"/>
  <c r="J75" i="6"/>
  <c r="D75" i="6"/>
  <c r="N74" i="6"/>
  <c r="M74" i="6"/>
  <c r="L74" i="6"/>
  <c r="I74" i="6"/>
  <c r="I72" i="6"/>
  <c r="I71" i="6"/>
  <c r="I70" i="6"/>
  <c r="I69" i="6"/>
  <c r="I68" i="6"/>
  <c r="I67" i="6"/>
  <c r="I66" i="6"/>
  <c r="I65" i="6"/>
  <c r="I64" i="6"/>
  <c r="I63" i="6"/>
  <c r="I62" i="6"/>
  <c r="I61" i="6"/>
  <c r="I60" i="6"/>
  <c r="I59" i="6"/>
  <c r="I58" i="6"/>
  <c r="I56" i="6"/>
  <c r="I55" i="6"/>
  <c r="J54" i="6"/>
  <c r="J53" i="6"/>
  <c r="I53" i="6" s="1"/>
  <c r="I52" i="6"/>
  <c r="I51" i="6"/>
  <c r="I50" i="6"/>
  <c r="I47" i="6"/>
  <c r="Q29" i="6"/>
  <c r="N29" i="6"/>
  <c r="M29" i="6"/>
  <c r="L29" i="6"/>
  <c r="K29" i="6"/>
  <c r="K27" i="6"/>
  <c r="I22" i="6"/>
  <c r="I21" i="6"/>
  <c r="I20" i="6"/>
  <c r="K19" i="6"/>
  <c r="L16" i="6"/>
  <c r="L13" i="6" s="1"/>
  <c r="K16" i="6"/>
  <c r="I15" i="6"/>
  <c r="A15" i="6"/>
  <c r="I14" i="6"/>
  <c r="N13" i="6"/>
  <c r="M13" i="6"/>
  <c r="J13" i="6"/>
  <c r="G9" i="5"/>
  <c r="H9" i="5"/>
  <c r="E22" i="5"/>
  <c r="E20" i="5"/>
  <c r="E19" i="5"/>
  <c r="E18" i="5"/>
  <c r="E17" i="5"/>
  <c r="E16" i="5"/>
  <c r="E15" i="5"/>
  <c r="F22" i="5"/>
  <c r="F21" i="5"/>
  <c r="D21" i="5" s="1"/>
  <c r="F20" i="5"/>
  <c r="D20" i="5" s="1"/>
  <c r="F19" i="5"/>
  <c r="F18" i="5"/>
  <c r="F17" i="5"/>
  <c r="F16" i="5"/>
  <c r="F15" i="5"/>
  <c r="F14" i="5"/>
  <c r="E14" i="5"/>
  <c r="E13" i="5"/>
  <c r="E12" i="5"/>
  <c r="E11" i="5"/>
  <c r="E10" i="5"/>
  <c r="D12" i="5"/>
  <c r="D13" i="5"/>
  <c r="D11" i="5"/>
  <c r="D10" i="5"/>
  <c r="D19" i="2"/>
  <c r="E19" i="2" s="1"/>
  <c r="K9" i="2"/>
  <c r="H25" i="2"/>
  <c r="E39" i="2"/>
  <c r="D22" i="2"/>
  <c r="I33" i="2"/>
  <c r="E15" i="2"/>
  <c r="I32" i="2"/>
  <c r="I10" i="2"/>
  <c r="J8" i="2"/>
  <c r="E16" i="2"/>
  <c r="E17" i="2"/>
  <c r="L38" i="2" s="1"/>
  <c r="M38" i="2" s="1"/>
  <c r="E18" i="2"/>
  <c r="L39" i="2" s="1"/>
  <c r="M39" i="2" s="1"/>
  <c r="FH9" i="3"/>
  <c r="DQ9" i="3"/>
  <c r="FH8" i="3"/>
  <c r="AB8" i="3"/>
  <c r="FH7" i="3"/>
  <c r="AH1" i="3"/>
  <c r="R9" i="3"/>
  <c r="R11" i="3" s="1"/>
  <c r="S7" i="3"/>
  <c r="T7" i="3" s="1"/>
  <c r="S9" i="3"/>
  <c r="T9" i="3" s="1"/>
  <c r="E91" i="1"/>
  <c r="E90" i="1"/>
  <c r="E82" i="1"/>
  <c r="E83" i="1"/>
  <c r="E49" i="1"/>
  <c r="E47" i="1" s="1"/>
  <c r="E68" i="1"/>
  <c r="E66" i="1" s="1"/>
  <c r="E65" i="1" s="1"/>
  <c r="U54" i="1" s="1"/>
  <c r="E17" i="1"/>
  <c r="E15" i="1" s="1"/>
  <c r="E13" i="1" s="1"/>
  <c r="K22" i="1"/>
  <c r="K23" i="1"/>
  <c r="K24" i="1"/>
  <c r="K36" i="1"/>
  <c r="K50" i="1"/>
  <c r="M50" i="1" s="1"/>
  <c r="K62" i="1"/>
  <c r="M62" i="1" s="1"/>
  <c r="K63" i="1"/>
  <c r="M63" i="1" s="1"/>
  <c r="D55" i="1"/>
  <c r="G55" i="1"/>
  <c r="H55" i="1"/>
  <c r="I55" i="1"/>
  <c r="D56" i="1"/>
  <c r="G56" i="1"/>
  <c r="H56" i="1"/>
  <c r="I56" i="1"/>
  <c r="E44" i="1"/>
  <c r="E27" i="2"/>
  <c r="E39" i="1"/>
  <c r="E37" i="1" s="1"/>
  <c r="E25" i="2"/>
  <c r="C12" i="1"/>
  <c r="I73" i="1"/>
  <c r="H73" i="1"/>
  <c r="G73" i="1"/>
  <c r="D73" i="1"/>
  <c r="C73" i="1"/>
  <c r="I72" i="1"/>
  <c r="F72" i="1" s="1"/>
  <c r="K72" i="1" s="1"/>
  <c r="M72" i="1" s="1"/>
  <c r="I71" i="1"/>
  <c r="H71" i="1"/>
  <c r="D71" i="1"/>
  <c r="C71" i="1"/>
  <c r="I70" i="1"/>
  <c r="H70" i="1"/>
  <c r="D70" i="1"/>
  <c r="L68" i="1"/>
  <c r="L66" i="1" s="1"/>
  <c r="L65" i="1" s="1"/>
  <c r="I69" i="1"/>
  <c r="H69" i="1"/>
  <c r="D69" i="1"/>
  <c r="C69" i="1"/>
  <c r="C68" i="1" s="1"/>
  <c r="C66" i="1" s="1"/>
  <c r="J68" i="1"/>
  <c r="G68" i="1"/>
  <c r="J67" i="1"/>
  <c r="J66" i="1" s="1"/>
  <c r="J65" i="1" s="1"/>
  <c r="I67" i="1"/>
  <c r="H67" i="1"/>
  <c r="G67" i="1"/>
  <c r="D67" i="1"/>
  <c r="F64" i="1"/>
  <c r="K64" i="1" s="1"/>
  <c r="M64" i="1" s="1"/>
  <c r="D64" i="1"/>
  <c r="I61" i="1"/>
  <c r="H61" i="1"/>
  <c r="G61" i="1"/>
  <c r="D61" i="1"/>
  <c r="I60" i="1"/>
  <c r="H60" i="1"/>
  <c r="G60" i="1"/>
  <c r="D60" i="1"/>
  <c r="I59" i="1"/>
  <c r="H59" i="1"/>
  <c r="G59" i="1"/>
  <c r="D59" i="1"/>
  <c r="J57" i="1"/>
  <c r="J53" i="1" s="1"/>
  <c r="J49" i="1" s="1"/>
  <c r="J47" i="1" s="1"/>
  <c r="I52" i="1"/>
  <c r="H52" i="1"/>
  <c r="G52" i="1"/>
  <c r="D52" i="1"/>
  <c r="F51" i="1"/>
  <c r="K51" i="1" s="1"/>
  <c r="M51" i="1" s="1"/>
  <c r="D51" i="1"/>
  <c r="I50" i="1"/>
  <c r="H50" i="1"/>
  <c r="G50" i="1"/>
  <c r="D50" i="1"/>
  <c r="P49" i="1"/>
  <c r="Q49" i="1" s="1"/>
  <c r="P48" i="1"/>
  <c r="Q48" i="1" s="1"/>
  <c r="I48" i="1"/>
  <c r="H48" i="1"/>
  <c r="G48" i="1"/>
  <c r="D48" i="1"/>
  <c r="P47" i="1"/>
  <c r="Q47" i="1" s="1"/>
  <c r="I46" i="1"/>
  <c r="H46" i="1"/>
  <c r="G46" i="1"/>
  <c r="D46" i="1"/>
  <c r="I45" i="1"/>
  <c r="H45" i="1"/>
  <c r="G45" i="1"/>
  <c r="D45" i="1"/>
  <c r="EV44" i="1"/>
  <c r="I43" i="1"/>
  <c r="H43" i="1"/>
  <c r="G43" i="1"/>
  <c r="D43" i="1"/>
  <c r="I42" i="1"/>
  <c r="H42" i="1"/>
  <c r="G42" i="1"/>
  <c r="D42" i="1"/>
  <c r="D41" i="1" s="1"/>
  <c r="D39" i="1" s="1"/>
  <c r="J41" i="1"/>
  <c r="J39" i="1" s="1"/>
  <c r="J37" i="1" s="1"/>
  <c r="I40" i="1"/>
  <c r="H40" i="1"/>
  <c r="G40" i="1"/>
  <c r="D40" i="1"/>
  <c r="G39" i="1"/>
  <c r="I38" i="1"/>
  <c r="H38" i="1"/>
  <c r="G38" i="1"/>
  <c r="D38" i="1"/>
  <c r="P37" i="1"/>
  <c r="Q37" i="1" s="1"/>
  <c r="I35" i="1"/>
  <c r="I33" i="1" s="1"/>
  <c r="H35" i="1"/>
  <c r="H34" i="1" s="1"/>
  <c r="H33" i="1" s="1"/>
  <c r="G35" i="1"/>
  <c r="D35" i="1"/>
  <c r="D34" i="1" s="1"/>
  <c r="D33" i="1" s="1"/>
  <c r="J17" i="1"/>
  <c r="J15" i="1" s="1"/>
  <c r="J13" i="1" s="1"/>
  <c r="EV32" i="1"/>
  <c r="H32" i="1"/>
  <c r="G32" i="1"/>
  <c r="D32" i="1"/>
  <c r="I31" i="1"/>
  <c r="H31" i="1"/>
  <c r="G31" i="1"/>
  <c r="D31" i="1"/>
  <c r="I30" i="1"/>
  <c r="H30" i="1"/>
  <c r="G30" i="1"/>
  <c r="D30" i="1"/>
  <c r="H29" i="1"/>
  <c r="G29" i="1"/>
  <c r="D29" i="1"/>
  <c r="I27" i="1"/>
  <c r="H27" i="1"/>
  <c r="G27" i="1"/>
  <c r="D27" i="1"/>
  <c r="I26" i="1"/>
  <c r="D26" i="1"/>
  <c r="H25" i="1"/>
  <c r="G25" i="1"/>
  <c r="D25" i="1"/>
  <c r="I21" i="1"/>
  <c r="H21" i="1"/>
  <c r="F21" i="1" s="1"/>
  <c r="K21" i="1" s="1"/>
  <c r="M21" i="1" s="1"/>
  <c r="G21" i="1"/>
  <c r="D21" i="1"/>
  <c r="I20" i="1"/>
  <c r="H20" i="1"/>
  <c r="G20" i="1"/>
  <c r="D20" i="1"/>
  <c r="DE19" i="1"/>
  <c r="DE20" i="1" s="1"/>
  <c r="I19" i="1"/>
  <c r="H19" i="1"/>
  <c r="G19" i="1"/>
  <c r="D19" i="1"/>
  <c r="I18" i="1"/>
  <c r="H18" i="1"/>
  <c r="G18" i="1"/>
  <c r="D18" i="1"/>
  <c r="P17" i="1"/>
  <c r="Q17" i="1" s="1"/>
  <c r="P16" i="1"/>
  <c r="Q16" i="1" s="1"/>
  <c r="I16" i="1"/>
  <c r="H16" i="1"/>
  <c r="G16" i="1"/>
  <c r="D16" i="1"/>
  <c r="P15" i="1"/>
  <c r="Q15" i="1" s="1"/>
  <c r="M14" i="1"/>
  <c r="D14" i="1"/>
  <c r="S14" i="1" s="1"/>
  <c r="R13" i="1"/>
  <c r="R15" i="1" s="1"/>
  <c r="L12" i="1"/>
  <c r="DE9" i="1"/>
  <c r="EV7" i="1"/>
  <c r="EV8" i="1"/>
  <c r="EV9" i="1"/>
  <c r="M12" i="1"/>
  <c r="H38" i="2"/>
  <c r="O263" i="6"/>
  <c r="H261" i="6"/>
  <c r="Q51" i="7"/>
  <c r="Q50" i="7" s="1"/>
  <c r="P13" i="7"/>
  <c r="K13" i="7"/>
  <c r="K12" i="7" s="1"/>
  <c r="J54" i="7"/>
  <c r="J53" i="7" s="1"/>
  <c r="P51" i="7"/>
  <c r="P50" i="7" s="1"/>
  <c r="A15" i="7"/>
  <c r="A16" i="7" s="1"/>
  <c r="A18" i="7" s="1"/>
  <c r="O55" i="7"/>
  <c r="O54" i="7" s="1"/>
  <c r="O53" i="7" s="1"/>
  <c r="O233" i="6"/>
  <c r="O314" i="6"/>
  <c r="O124" i="6"/>
  <c r="P119" i="6"/>
  <c r="O129" i="6"/>
  <c r="Q132" i="6"/>
  <c r="Q131" i="6" s="1"/>
  <c r="O119" i="6"/>
  <c r="O277" i="6"/>
  <c r="Q119" i="6"/>
  <c r="O240" i="6"/>
  <c r="Q13" i="6"/>
  <c r="Q12" i="6" s="1"/>
  <c r="O92" i="6"/>
  <c r="Q92" i="6"/>
  <c r="O288" i="6"/>
  <c r="O266" i="6"/>
  <c r="O132" i="6"/>
  <c r="O131" i="6" s="1"/>
  <c r="O148" i="6"/>
  <c r="O147" i="6" s="1"/>
  <c r="O163" i="6"/>
  <c r="O162" i="6" s="1"/>
  <c r="O13" i="6"/>
  <c r="Q74" i="6"/>
  <c r="P29" i="6"/>
  <c r="P12" i="6" s="1"/>
  <c r="Q124" i="6"/>
  <c r="O29" i="6"/>
  <c r="A151" i="6"/>
  <c r="A152" i="6" s="1"/>
  <c r="O74" i="6"/>
  <c r="P74" i="6"/>
  <c r="E26" i="2"/>
  <c r="E13" i="2"/>
  <c r="H14" i="2"/>
  <c r="A16" i="15"/>
  <c r="K56" i="7"/>
  <c r="K54" i="7" s="1"/>
  <c r="K53" i="7" s="1"/>
  <c r="U14" i="14"/>
  <c r="U13" i="14" s="1"/>
  <c r="K96" i="15"/>
  <c r="H30" i="2"/>
  <c r="R74" i="15"/>
  <c r="P74" i="15" s="1"/>
  <c r="M180" i="15"/>
  <c r="X41" i="15"/>
  <c r="K138" i="6"/>
  <c r="J132" i="6"/>
  <c r="J131" i="6" s="1"/>
  <c r="P175" i="15"/>
  <c r="P174" i="15"/>
  <c r="K98" i="15"/>
  <c r="L98" i="15" s="1"/>
  <c r="R98" i="15"/>
  <c r="X98" i="15" s="1"/>
  <c r="X102" i="15"/>
  <c r="R79" i="15"/>
  <c r="X79" i="15" s="1"/>
  <c r="E82" i="15"/>
  <c r="K81" i="15"/>
  <c r="L82" i="15"/>
  <c r="L26" i="15"/>
  <c r="T26" i="15" s="1"/>
  <c r="K25" i="15"/>
  <c r="L40" i="15"/>
  <c r="T40" i="15" s="1"/>
  <c r="R56" i="15"/>
  <c r="P56" i="15" s="1"/>
  <c r="Q90" i="15"/>
  <c r="P91" i="15"/>
  <c r="P90" i="15" s="1"/>
  <c r="X40" i="15"/>
  <c r="P89" i="15"/>
  <c r="T89" i="15"/>
  <c r="U13" i="7"/>
  <c r="E38" i="2"/>
  <c r="X63" i="15"/>
  <c r="T13" i="6"/>
  <c r="R57" i="15"/>
  <c r="T57" i="15" s="1"/>
  <c r="R68" i="15"/>
  <c r="P68" i="15" s="1"/>
  <c r="P144" i="15"/>
  <c r="E24" i="2"/>
  <c r="C22" i="2"/>
  <c r="C31" i="2" s="1"/>
  <c r="E37" i="2"/>
  <c r="E14" i="2"/>
  <c r="U6" i="7"/>
  <c r="Y6" i="15"/>
  <c r="T6" i="6"/>
  <c r="H4" i="2"/>
  <c r="D12" i="2"/>
  <c r="C12" i="2"/>
  <c r="C11" i="2" s="1"/>
  <c r="I15" i="2"/>
  <c r="E37" i="15"/>
  <c r="L37" i="15"/>
  <c r="O12" i="15"/>
  <c r="O35" i="15"/>
  <c r="J4" i="2"/>
  <c r="K4" i="2" s="1"/>
  <c r="H40" i="2"/>
  <c r="S8" i="3"/>
  <c r="Q11" i="3"/>
  <c r="X42" i="15"/>
  <c r="R36" i="15"/>
  <c r="X61" i="15"/>
  <c r="T73" i="15"/>
  <c r="L39" i="15"/>
  <c r="T39" i="15" s="1"/>
  <c r="D12" i="8"/>
  <c r="C18" i="8" s="1"/>
  <c r="X18" i="8" s="1"/>
  <c r="T61" i="15"/>
  <c r="P36" i="15"/>
  <c r="R12" i="15"/>
  <c r="L14" i="15"/>
  <c r="T14" i="15" s="1"/>
  <c r="O15" i="7"/>
  <c r="X99" i="15"/>
  <c r="R64" i="15"/>
  <c r="T64" i="15" s="1"/>
  <c r="K143" i="6"/>
  <c r="P17" i="7"/>
  <c r="T37" i="15"/>
  <c r="L31" i="2"/>
  <c r="M31" i="2" s="1"/>
  <c r="Q54" i="7"/>
  <c r="Q53" i="7" s="1"/>
  <c r="X80" i="15"/>
  <c r="P55" i="15"/>
  <c r="T55" i="15"/>
  <c r="T75" i="15"/>
  <c r="X68" i="15"/>
  <c r="I12" i="8"/>
  <c r="H12" i="8" s="1"/>
  <c r="R10" i="8" s="1"/>
  <c r="L96" i="15"/>
  <c r="K13" i="15"/>
  <c r="K140" i="6"/>
  <c r="I88" i="7"/>
  <c r="T86" i="15"/>
  <c r="E38" i="15"/>
  <c r="R59" i="15"/>
  <c r="K36" i="15"/>
  <c r="X87" i="15"/>
  <c r="T63" i="15"/>
  <c r="R85" i="15"/>
  <c r="X85" i="15" s="1"/>
  <c r="P73" i="15"/>
  <c r="Y26" i="8"/>
  <c r="T28" i="15"/>
  <c r="P58" i="15"/>
  <c r="T58" i="15"/>
  <c r="H13" i="2"/>
  <c r="X59" i="15"/>
  <c r="P67" i="15"/>
  <c r="T67" i="15"/>
  <c r="X75" i="15"/>
  <c r="P75" i="15"/>
  <c r="X36" i="15"/>
  <c r="Q85" i="15"/>
  <c r="T84" i="15"/>
  <c r="X84" i="15"/>
  <c r="X77" i="15"/>
  <c r="T77" i="15"/>
  <c r="P70" i="15"/>
  <c r="X70" i="15"/>
  <c r="P77" i="15"/>
  <c r="P64" i="15"/>
  <c r="F82" i="1"/>
  <c r="F94" i="1" s="1"/>
  <c r="C19" i="8"/>
  <c r="F19" i="8" s="1"/>
  <c r="G19" i="8" s="1"/>
  <c r="O19" i="8" s="1"/>
  <c r="C15" i="8"/>
  <c r="T15" i="8" s="1"/>
  <c r="P87" i="15"/>
  <c r="S74" i="6"/>
  <c r="D22" i="5" l="1"/>
  <c r="P86" i="15"/>
  <c r="P197" i="15"/>
  <c r="Q93" i="15"/>
  <c r="Q92" i="15" s="1"/>
  <c r="O259" i="6"/>
  <c r="G37" i="1"/>
  <c r="S11" i="3"/>
  <c r="X190" i="15"/>
  <c r="I190" i="15"/>
  <c r="J188" i="15"/>
  <c r="T88" i="15"/>
  <c r="X88" i="15"/>
  <c r="R83" i="15"/>
  <c r="Q81" i="15"/>
  <c r="X65" i="15"/>
  <c r="P65" i="15"/>
  <c r="T65" i="15"/>
  <c r="I31" i="7"/>
  <c r="J17" i="7"/>
  <c r="J12" i="7" s="1"/>
  <c r="I22" i="2"/>
  <c r="J22" i="2" s="1"/>
  <c r="J10" i="2" s="1"/>
  <c r="D31" i="2"/>
  <c r="I17" i="2"/>
  <c r="A17" i="15"/>
  <c r="A18" i="15"/>
  <c r="A19" i="15" s="1"/>
  <c r="A20" i="15" s="1"/>
  <c r="A21" i="15" s="1"/>
  <c r="O12" i="6"/>
  <c r="T94" i="15"/>
  <c r="T101" i="15"/>
  <c r="X234" i="15"/>
  <c r="T66" i="15"/>
  <c r="X66" i="15"/>
  <c r="X64" i="15"/>
  <c r="I54" i="1"/>
  <c r="P88" i="7"/>
  <c r="K239" i="6"/>
  <c r="N35" i="15"/>
  <c r="P106" i="15"/>
  <c r="P105" i="15" s="1"/>
  <c r="P73" i="6"/>
  <c r="D44" i="1"/>
  <c r="I13" i="6"/>
  <c r="M12" i="6"/>
  <c r="N73" i="6"/>
  <c r="G44" i="1"/>
  <c r="O107" i="7"/>
  <c r="X74" i="15"/>
  <c r="F20" i="1"/>
  <c r="K20" i="1" s="1"/>
  <c r="F31" i="1"/>
  <c r="K31" i="1" s="1"/>
  <c r="H58" i="1"/>
  <c r="H57" i="1" s="1"/>
  <c r="C16" i="8"/>
  <c r="X16" i="8" s="1"/>
  <c r="H41" i="1"/>
  <c r="G66" i="1"/>
  <c r="G65" i="1" s="1"/>
  <c r="E94" i="1"/>
  <c r="K13" i="6"/>
  <c r="K12" i="6" s="1"/>
  <c r="O13" i="7"/>
  <c r="F10" i="5"/>
  <c r="I259" i="6"/>
  <c r="T103" i="15"/>
  <c r="T74" i="15"/>
  <c r="T97" i="15"/>
  <c r="Q88" i="7"/>
  <c r="Q86" i="7" s="1"/>
  <c r="T41" i="15"/>
  <c r="K35" i="15"/>
  <c r="N239" i="6"/>
  <c r="O17" i="7"/>
  <c r="P229" i="15"/>
  <c r="C65" i="1"/>
  <c r="C11" i="1" s="1"/>
  <c r="N12" i="6"/>
  <c r="N11" i="6" s="1"/>
  <c r="N10" i="6" s="1"/>
  <c r="X229" i="15"/>
  <c r="T100" i="15"/>
  <c r="X208" i="15"/>
  <c r="X200" i="15"/>
  <c r="C10" i="2"/>
  <c r="O73" i="6"/>
  <c r="D14" i="5"/>
  <c r="F70" i="1"/>
  <c r="K70" i="1" s="1"/>
  <c r="M70" i="1" s="1"/>
  <c r="T10" i="3"/>
  <c r="U10" i="3" s="1"/>
  <c r="F13" i="5"/>
  <c r="H39" i="1"/>
  <c r="H37" i="1" s="1"/>
  <c r="F69" i="1"/>
  <c r="K69" i="1" s="1"/>
  <c r="M69" i="1" s="1"/>
  <c r="F73" i="1"/>
  <c r="K73" i="1" s="1"/>
  <c r="M73" i="1" s="1"/>
  <c r="G54" i="1"/>
  <c r="F40" i="1"/>
  <c r="K40" i="1" s="1"/>
  <c r="H68" i="1"/>
  <c r="H66" i="1" s="1"/>
  <c r="H65" i="1" s="1"/>
  <c r="F11" i="5"/>
  <c r="D15" i="5"/>
  <c r="T83" i="15"/>
  <c r="X83" i="15"/>
  <c r="R81" i="15"/>
  <c r="X81" i="15" s="1"/>
  <c r="X96" i="15"/>
  <c r="R93" i="15"/>
  <c r="R92" i="15" s="1"/>
  <c r="P60" i="15"/>
  <c r="X60" i="15"/>
  <c r="T60" i="15"/>
  <c r="M239" i="6"/>
  <c r="F27" i="1"/>
  <c r="K27" i="1" s="1"/>
  <c r="M27" i="1" s="1"/>
  <c r="I28" i="1"/>
  <c r="I17" i="1" s="1"/>
  <c r="I15" i="1" s="1"/>
  <c r="I13" i="1" s="1"/>
  <c r="E95" i="1"/>
  <c r="D18" i="5"/>
  <c r="K92" i="6"/>
  <c r="K73" i="6" s="1"/>
  <c r="P239" i="6"/>
  <c r="T43" i="15"/>
  <c r="T95" i="15"/>
  <c r="P183" i="15"/>
  <c r="X214" i="15"/>
  <c r="P234" i="15"/>
  <c r="D37" i="1"/>
  <c r="F42" i="1"/>
  <c r="K42" i="1" s="1"/>
  <c r="M42" i="1" s="1"/>
  <c r="L12" i="6"/>
  <c r="X193" i="15"/>
  <c r="R15" i="8"/>
  <c r="P12" i="7"/>
  <c r="P11" i="7" s="1"/>
  <c r="F32" i="1"/>
  <c r="K32" i="1" s="1"/>
  <c r="M32" i="1" s="1"/>
  <c r="I41" i="1"/>
  <c r="I39" i="1" s="1"/>
  <c r="F56" i="1"/>
  <c r="K56" i="1" s="1"/>
  <c r="M56" i="1" s="1"/>
  <c r="T70" i="15"/>
  <c r="J35" i="15"/>
  <c r="D68" i="1"/>
  <c r="D66" i="1" s="1"/>
  <c r="D65" i="1" s="1"/>
  <c r="X238" i="15"/>
  <c r="F43" i="1"/>
  <c r="K43" i="1" s="1"/>
  <c r="M43" i="1" s="1"/>
  <c r="Q35" i="15"/>
  <c r="Q11" i="15" s="1"/>
  <c r="D19" i="5"/>
  <c r="J74" i="6"/>
  <c r="J73" i="6" s="1"/>
  <c r="I239" i="6"/>
  <c r="L12" i="7"/>
  <c r="L11" i="7" s="1"/>
  <c r="J239" i="6"/>
  <c r="Q239" i="6"/>
  <c r="M12" i="7"/>
  <c r="M11" i="7" s="1"/>
  <c r="P57" i="15"/>
  <c r="F48" i="1"/>
  <c r="K48" i="1" s="1"/>
  <c r="M48" i="1" s="1"/>
  <c r="P85" i="15"/>
  <c r="L25" i="15"/>
  <c r="K12" i="15"/>
  <c r="X57" i="15"/>
  <c r="E12" i="1"/>
  <c r="E11" i="1" s="1"/>
  <c r="U11" i="1" s="1"/>
  <c r="U33" i="1" s="1"/>
  <c r="U37" i="1" s="1"/>
  <c r="M35" i="15"/>
  <c r="T99" i="15"/>
  <c r="X223" i="15"/>
  <c r="T42" i="15"/>
  <c r="T104" i="15"/>
  <c r="F35" i="1"/>
  <c r="K35" i="1" s="1"/>
  <c r="M35" i="1" s="1"/>
  <c r="F71" i="1"/>
  <c r="K71" i="1" s="1"/>
  <c r="M71" i="1" s="1"/>
  <c r="D17" i="5"/>
  <c r="P25" i="15"/>
  <c r="P188" i="15"/>
  <c r="X197" i="15"/>
  <c r="P86" i="7"/>
  <c r="P85" i="7"/>
  <c r="P62" i="15"/>
  <c r="T62" i="15"/>
  <c r="X62" i="15"/>
  <c r="T69" i="15"/>
  <c r="P69" i="15"/>
  <c r="X69" i="15"/>
  <c r="S21" i="1"/>
  <c r="T15" i="15"/>
  <c r="L13" i="15"/>
  <c r="A78" i="6"/>
  <c r="A79" i="6"/>
  <c r="A80" i="6" s="1"/>
  <c r="T71" i="15"/>
  <c r="P71" i="15"/>
  <c r="X71" i="15"/>
  <c r="P72" i="15"/>
  <c r="X72" i="15"/>
  <c r="T72" i="15"/>
  <c r="F46" i="1"/>
  <c r="K46" i="1" s="1"/>
  <c r="M46" i="1" s="1"/>
  <c r="Q180" i="15"/>
  <c r="S12" i="8"/>
  <c r="F61" i="1"/>
  <c r="K61" i="1" s="1"/>
  <c r="M61" i="1" s="1"/>
  <c r="I163" i="6"/>
  <c r="I162" i="6" s="1"/>
  <c r="T102" i="15"/>
  <c r="E31" i="2"/>
  <c r="F38" i="1"/>
  <c r="K38" i="1" s="1"/>
  <c r="A19" i="7"/>
  <c r="A20" i="7" s="1"/>
  <c r="A21" i="7" s="1"/>
  <c r="C20" i="8"/>
  <c r="R20" i="8" s="1"/>
  <c r="R54" i="15"/>
  <c r="I68" i="1"/>
  <c r="S10" i="3"/>
  <c r="L11" i="1"/>
  <c r="D16" i="5"/>
  <c r="O89" i="7"/>
  <c r="N88" i="7"/>
  <c r="O115" i="7"/>
  <c r="P13" i="15"/>
  <c r="Q85" i="7"/>
  <c r="F30" i="1"/>
  <c r="K30" i="1" s="1"/>
  <c r="M30" i="1" s="1"/>
  <c r="C24" i="8"/>
  <c r="R24" i="8" s="1"/>
  <c r="G41" i="1"/>
  <c r="H54" i="1"/>
  <c r="I73" i="6"/>
  <c r="S73" i="6" s="1"/>
  <c r="I132" i="6"/>
  <c r="I131" i="6" s="1"/>
  <c r="P208" i="15"/>
  <c r="K11" i="7"/>
  <c r="D58" i="1"/>
  <c r="D57" i="1" s="1"/>
  <c r="E12" i="2"/>
  <c r="E22" i="2"/>
  <c r="O239" i="6"/>
  <c r="F12" i="5"/>
  <c r="L73" i="6"/>
  <c r="L239" i="6"/>
  <c r="I58" i="1"/>
  <c r="I57" i="1" s="1"/>
  <c r="D54" i="1"/>
  <c r="J12" i="15"/>
  <c r="J11" i="15" s="1"/>
  <c r="M12" i="15"/>
  <c r="J11" i="7"/>
  <c r="O11" i="15"/>
  <c r="T19" i="8"/>
  <c r="K93" i="15"/>
  <c r="K92" i="15" s="1"/>
  <c r="F19" i="1"/>
  <c r="K19" i="1" s="1"/>
  <c r="D28" i="1"/>
  <c r="D17" i="1" s="1"/>
  <c r="D15" i="1" s="1"/>
  <c r="D13" i="1" s="1"/>
  <c r="F60" i="1"/>
  <c r="K60" i="1" s="1"/>
  <c r="M60" i="1" s="1"/>
  <c r="N12" i="7"/>
  <c r="N11" i="7" s="1"/>
  <c r="L88" i="7"/>
  <c r="N12" i="15"/>
  <c r="N11" i="15" s="1"/>
  <c r="P193" i="15"/>
  <c r="X19" i="8"/>
  <c r="Y19" i="8" s="1"/>
  <c r="D11" i="2"/>
  <c r="F16" i="1"/>
  <c r="K16" i="1" s="1"/>
  <c r="M16" i="1" s="1"/>
  <c r="F25" i="1"/>
  <c r="K25" i="1" s="1"/>
  <c r="M25" i="1" s="1"/>
  <c r="F52" i="1"/>
  <c r="K52" i="1" s="1"/>
  <c r="M52" i="1" s="1"/>
  <c r="E9" i="5"/>
  <c r="I17" i="7"/>
  <c r="I12" i="7" s="1"/>
  <c r="I11" i="7" s="1"/>
  <c r="I10" i="7" s="1"/>
  <c r="O180" i="15"/>
  <c r="Q73" i="6"/>
  <c r="Q11" i="6" s="1"/>
  <c r="F67" i="1"/>
  <c r="E92" i="1"/>
  <c r="F92" i="1" s="1"/>
  <c r="X90" i="15"/>
  <c r="K180" i="15"/>
  <c r="J88" i="7"/>
  <c r="M88" i="7"/>
  <c r="N180" i="15"/>
  <c r="X203" i="15"/>
  <c r="A22" i="15"/>
  <c r="A23" i="15" s="1"/>
  <c r="X15" i="8"/>
  <c r="Z15" i="8"/>
  <c r="F15" i="8"/>
  <c r="G15" i="8" s="1"/>
  <c r="O15" i="8" s="1"/>
  <c r="Y15" i="8" s="1"/>
  <c r="Z18" i="8"/>
  <c r="T18" i="8"/>
  <c r="R18" i="8"/>
  <c r="F18" i="8"/>
  <c r="G18" i="8" s="1"/>
  <c r="O18" i="8" s="1"/>
  <c r="Y18" i="8" s="1"/>
  <c r="Z19" i="8"/>
  <c r="R19" i="8"/>
  <c r="P59" i="15"/>
  <c r="T59" i="15"/>
  <c r="T96" i="15"/>
  <c r="L93" i="15"/>
  <c r="L92" i="15" s="1"/>
  <c r="H9" i="2"/>
  <c r="A137" i="6"/>
  <c r="T8" i="3"/>
  <c r="T11" i="3"/>
  <c r="L36" i="15"/>
  <c r="T68" i="15"/>
  <c r="L81" i="15"/>
  <c r="T82" i="15"/>
  <c r="T98" i="15"/>
  <c r="X76" i="15"/>
  <c r="P76" i="15"/>
  <c r="P11" i="6"/>
  <c r="P10" i="6" s="1"/>
  <c r="S11" i="6" s="1"/>
  <c r="F18" i="1"/>
  <c r="F29" i="1"/>
  <c r="K29" i="1" s="1"/>
  <c r="G28" i="1"/>
  <c r="H28" i="1"/>
  <c r="H17" i="1" s="1"/>
  <c r="H15" i="1" s="1"/>
  <c r="H13" i="1" s="1"/>
  <c r="F45" i="1"/>
  <c r="K45" i="1" s="1"/>
  <c r="M45" i="1" s="1"/>
  <c r="H44" i="1"/>
  <c r="F55" i="1"/>
  <c r="K55" i="1" s="1"/>
  <c r="M55" i="1" s="1"/>
  <c r="K132" i="6"/>
  <c r="K131" i="6" s="1"/>
  <c r="A153" i="6"/>
  <c r="C23" i="8"/>
  <c r="C14" i="8"/>
  <c r="C21" i="8"/>
  <c r="C25" i="8"/>
  <c r="C22" i="8"/>
  <c r="C17" i="8"/>
  <c r="C13" i="8"/>
  <c r="T56" i="15"/>
  <c r="X56" i="15"/>
  <c r="T79" i="15"/>
  <c r="P79" i="15"/>
  <c r="J180" i="15"/>
  <c r="X188" i="15"/>
  <c r="P78" i="15"/>
  <c r="T78" i="15"/>
  <c r="Q11" i="7"/>
  <c r="Q10" i="7" s="1"/>
  <c r="F26" i="1"/>
  <c r="K26" i="1" s="1"/>
  <c r="M26" i="1" s="1"/>
  <c r="J12" i="1"/>
  <c r="G34" i="1"/>
  <c r="G58" i="1"/>
  <c r="F59" i="1"/>
  <c r="K59" i="1" s="1"/>
  <c r="M59" i="1" s="1"/>
  <c r="F83" i="1"/>
  <c r="E84" i="1"/>
  <c r="I30" i="2"/>
  <c r="I24" i="2" s="1"/>
  <c r="J24" i="2" s="1"/>
  <c r="D49" i="2"/>
  <c r="I25" i="2"/>
  <c r="A16" i="6"/>
  <c r="I54" i="6"/>
  <c r="I29" i="6" s="1"/>
  <c r="I12" i="6" s="1"/>
  <c r="J29" i="6"/>
  <c r="J12" i="6" s="1"/>
  <c r="A168" i="6"/>
  <c r="A81" i="6"/>
  <c r="A82" i="6" s="1"/>
  <c r="A83" i="6" s="1"/>
  <c r="A182" i="6"/>
  <c r="M73" i="6"/>
  <c r="M11" i="6" s="1"/>
  <c r="M10" i="6" s="1"/>
  <c r="K88" i="7"/>
  <c r="L54" i="15"/>
  <c r="L180" i="15"/>
  <c r="P214" i="15"/>
  <c r="V246" i="15"/>
  <c r="M20" i="1" l="1"/>
  <c r="S20" i="1"/>
  <c r="F68" i="1"/>
  <c r="K68" i="1" s="1"/>
  <c r="M68" i="1" s="1"/>
  <c r="H53" i="1"/>
  <c r="H49" i="1" s="1"/>
  <c r="H47" i="1" s="1"/>
  <c r="I53" i="1"/>
  <c r="I49" i="1" s="1"/>
  <c r="I47" i="1" s="1"/>
  <c r="M31" i="1"/>
  <c r="S31" i="1"/>
  <c r="M40" i="1"/>
  <c r="S40" i="1"/>
  <c r="O11" i="6"/>
  <c r="N10" i="7"/>
  <c r="Q10" i="6"/>
  <c r="Q15" i="8"/>
  <c r="S15" i="8"/>
  <c r="L11" i="6"/>
  <c r="P10" i="7"/>
  <c r="T11" i="7" s="1"/>
  <c r="R16" i="8"/>
  <c r="N10" i="15"/>
  <c r="K11" i="6"/>
  <c r="K10" i="6" s="1"/>
  <c r="L12" i="15"/>
  <c r="K11" i="15"/>
  <c r="K10" i="15" s="1"/>
  <c r="M11" i="15"/>
  <c r="M10" i="15" s="1"/>
  <c r="L10" i="7"/>
  <c r="O12" i="7"/>
  <c r="O11" i="7" s="1"/>
  <c r="Q10" i="15"/>
  <c r="AA7" i="15" s="1"/>
  <c r="F9" i="5"/>
  <c r="G8" i="5" s="1"/>
  <c r="T16" i="8"/>
  <c r="F16" i="8"/>
  <c r="G16" i="8" s="1"/>
  <c r="O16" i="8" s="1"/>
  <c r="Z16" i="8"/>
  <c r="F41" i="1"/>
  <c r="K41" i="1" s="1"/>
  <c r="M41" i="1" s="1"/>
  <c r="P180" i="15"/>
  <c r="Y16" i="8"/>
  <c r="S32" i="1"/>
  <c r="K10" i="7"/>
  <c r="P12" i="15"/>
  <c r="J11" i="6"/>
  <c r="J10" i="6" s="1"/>
  <c r="S30" i="1"/>
  <c r="U11" i="3"/>
  <c r="D9" i="5"/>
  <c r="H12" i="1"/>
  <c r="S35" i="1"/>
  <c r="S25" i="1"/>
  <c r="I37" i="1"/>
  <c r="F39" i="1"/>
  <c r="K39" i="1" s="1"/>
  <c r="S39" i="1" s="1"/>
  <c r="S27" i="1"/>
  <c r="I11" i="6"/>
  <c r="I10" i="6" s="1"/>
  <c r="S42" i="1"/>
  <c r="S46" i="1"/>
  <c r="S43" i="1"/>
  <c r="L10" i="6"/>
  <c r="O10" i="6"/>
  <c r="T11" i="6" s="1"/>
  <c r="S16" i="1"/>
  <c r="E93" i="1"/>
  <c r="S48" i="1"/>
  <c r="F54" i="1"/>
  <c r="K54" i="1" s="1"/>
  <c r="M54" i="1" s="1"/>
  <c r="X20" i="8"/>
  <c r="D53" i="1"/>
  <c r="D49" i="1" s="1"/>
  <c r="D47" i="1" s="1"/>
  <c r="D12" i="1" s="1"/>
  <c r="T24" i="8"/>
  <c r="F24" i="8"/>
  <c r="G24" i="8" s="1"/>
  <c r="O24" i="8" s="1"/>
  <c r="X24" i="8"/>
  <c r="Z24" i="8"/>
  <c r="AB24" i="8" s="1"/>
  <c r="R35" i="15"/>
  <c r="R11" i="15" s="1"/>
  <c r="R10" i="15" s="1"/>
  <c r="AB7" i="15" s="1"/>
  <c r="X54" i="15"/>
  <c r="I66" i="1"/>
  <c r="I65" i="1" s="1"/>
  <c r="J10" i="15"/>
  <c r="D10" i="2"/>
  <c r="E11" i="2"/>
  <c r="M19" i="1"/>
  <c r="S19" i="1"/>
  <c r="O10" i="15"/>
  <c r="A22" i="7"/>
  <c r="A23" i="7" s="1"/>
  <c r="J10" i="7"/>
  <c r="M10" i="7"/>
  <c r="F20" i="8"/>
  <c r="G20" i="8" s="1"/>
  <c r="O20" i="8" s="1"/>
  <c r="Z20" i="8"/>
  <c r="T20" i="8"/>
  <c r="F66" i="1"/>
  <c r="K67" i="1"/>
  <c r="M67" i="1" s="1"/>
  <c r="M66" i="1" s="1"/>
  <c r="M65" i="1" s="1"/>
  <c r="M11" i="1" s="1"/>
  <c r="O88" i="7"/>
  <c r="O10" i="7" s="1"/>
  <c r="A183" i="6"/>
  <c r="A184" i="6" s="1"/>
  <c r="A185" i="6" s="1"/>
  <c r="F95" i="1"/>
  <c r="F84" i="1"/>
  <c r="F93" i="1" s="1"/>
  <c r="G93" i="1" s="1"/>
  <c r="U66" i="1"/>
  <c r="U67" i="1" s="1"/>
  <c r="U65" i="1"/>
  <c r="G57" i="1"/>
  <c r="F58" i="1"/>
  <c r="K58" i="1" s="1"/>
  <c r="M58" i="1" s="1"/>
  <c r="T9" i="15"/>
  <c r="T13" i="8"/>
  <c r="Z13" i="8"/>
  <c r="F13" i="8"/>
  <c r="X13" i="8"/>
  <c r="R13" i="8"/>
  <c r="T22" i="8"/>
  <c r="X22" i="8"/>
  <c r="R22" i="8"/>
  <c r="F22" i="8"/>
  <c r="G22" i="8" s="1"/>
  <c r="O22" i="8" s="1"/>
  <c r="Z22" i="8"/>
  <c r="R21" i="8"/>
  <c r="F21" i="8"/>
  <c r="G21" i="8" s="1"/>
  <c r="O21" i="8" s="1"/>
  <c r="T21" i="8"/>
  <c r="Z21" i="8"/>
  <c r="X21" i="8"/>
  <c r="F23" i="8"/>
  <c r="G23" i="8" s="1"/>
  <c r="O23" i="8" s="1"/>
  <c r="R23" i="8"/>
  <c r="T23" i="8"/>
  <c r="Z23" i="8"/>
  <c r="X23" i="8"/>
  <c r="M38" i="1"/>
  <c r="S38" i="1"/>
  <c r="F28" i="1"/>
  <c r="K28" i="1" s="1"/>
  <c r="M28" i="1" s="1"/>
  <c r="Q20" i="8"/>
  <c r="S20" i="8"/>
  <c r="AA19" i="8"/>
  <c r="AB19" i="8"/>
  <c r="AA15" i="8"/>
  <c r="AB15" i="8"/>
  <c r="A24" i="15"/>
  <c r="A26" i="15"/>
  <c r="A84" i="6"/>
  <c r="A85" i="6" s="1"/>
  <c r="A86" i="6" s="1"/>
  <c r="A169" i="6"/>
  <c r="A170" i="6" s="1"/>
  <c r="A17" i="6"/>
  <c r="G33" i="1"/>
  <c r="F34" i="1"/>
  <c r="K34" i="1" s="1"/>
  <c r="M34" i="1" s="1"/>
  <c r="X11" i="1"/>
  <c r="J11" i="1"/>
  <c r="S26" i="1"/>
  <c r="R17" i="8"/>
  <c r="Z17" i="8"/>
  <c r="T17" i="8"/>
  <c r="F17" i="8"/>
  <c r="G17" i="8" s="1"/>
  <c r="O17" i="8" s="1"/>
  <c r="X17" i="8"/>
  <c r="F25" i="8"/>
  <c r="G25" i="8" s="1"/>
  <c r="O25" i="8" s="1"/>
  <c r="X25" i="8"/>
  <c r="T25" i="8"/>
  <c r="R25" i="8"/>
  <c r="Z25" i="8"/>
  <c r="Z14" i="8"/>
  <c r="R14" i="8"/>
  <c r="F14" i="8"/>
  <c r="G14" i="8" s="1"/>
  <c r="O14" i="8" s="1"/>
  <c r="X14" i="8"/>
  <c r="T14" i="8"/>
  <c r="A154" i="6"/>
  <c r="A155" i="6" s="1"/>
  <c r="S45" i="1"/>
  <c r="M29" i="1"/>
  <c r="S29" i="1"/>
  <c r="K18" i="1"/>
  <c r="L35" i="15"/>
  <c r="L11" i="15" s="1"/>
  <c r="L10" i="15" s="1"/>
  <c r="A138" i="6"/>
  <c r="A139" i="6" s="1"/>
  <c r="P54" i="15"/>
  <c r="P35" i="15" s="1"/>
  <c r="S19" i="8"/>
  <c r="Q19" i="8"/>
  <c r="S18" i="8"/>
  <c r="Q18" i="8"/>
  <c r="AA18" i="8"/>
  <c r="AB18" i="8"/>
  <c r="Q16" i="8"/>
  <c r="S16" i="8"/>
  <c r="F44" i="1"/>
  <c r="K44" i="1" s="1"/>
  <c r="M44" i="1" s="1"/>
  <c r="S24" i="8"/>
  <c r="Q24" i="8"/>
  <c r="H11" i="1" l="1"/>
  <c r="V11" i="1"/>
  <c r="I12" i="1"/>
  <c r="P11" i="15"/>
  <c r="A140" i="6"/>
  <c r="AA24" i="8"/>
  <c r="AA16" i="8"/>
  <c r="AB16" i="8"/>
  <c r="P10" i="15"/>
  <c r="Y24" i="8"/>
  <c r="M39" i="1"/>
  <c r="S41" i="1"/>
  <c r="S34" i="1"/>
  <c r="A27" i="15"/>
  <c r="A28" i="15" s="1"/>
  <c r="A29" i="15" s="1"/>
  <c r="Y21" i="8"/>
  <c r="Y25" i="8"/>
  <c r="F37" i="1"/>
  <c r="K37" i="1" s="1"/>
  <c r="A171" i="6"/>
  <c r="Y17" i="8"/>
  <c r="A24" i="7"/>
  <c r="A25" i="7" s="1"/>
  <c r="AB20" i="8"/>
  <c r="AA20" i="8"/>
  <c r="K66" i="1"/>
  <c r="F65" i="1"/>
  <c r="K65" i="1" s="1"/>
  <c r="Y20" i="8"/>
  <c r="Y22" i="8"/>
  <c r="H5" i="2"/>
  <c r="E10" i="2"/>
  <c r="I40" i="2"/>
  <c r="T10" i="15"/>
  <c r="T8" i="15" s="1"/>
  <c r="X10" i="15"/>
  <c r="AA9" i="15"/>
  <c r="A141" i="6"/>
  <c r="M18" i="1"/>
  <c r="S18" i="1"/>
  <c r="Y14" i="8"/>
  <c r="AA14" i="8"/>
  <c r="AB14" i="8"/>
  <c r="S25" i="8"/>
  <c r="Q25" i="8"/>
  <c r="S17" i="8"/>
  <c r="Q17" i="8"/>
  <c r="A87" i="6"/>
  <c r="A88" i="6" s="1"/>
  <c r="S28" i="1"/>
  <c r="D11" i="1"/>
  <c r="A156" i="6"/>
  <c r="A157" i="6" s="1"/>
  <c r="A158" i="6" s="1"/>
  <c r="AA23" i="8"/>
  <c r="AB23" i="8"/>
  <c r="Q23" i="8"/>
  <c r="S23" i="8"/>
  <c r="S21" i="8"/>
  <c r="Q21" i="8"/>
  <c r="S13" i="8"/>
  <c r="Q13" i="8"/>
  <c r="G13" i="8"/>
  <c r="AA13" i="8" s="1"/>
  <c r="F12" i="8"/>
  <c r="A18" i="6"/>
  <c r="A186" i="6"/>
  <c r="S44" i="1"/>
  <c r="S14" i="8"/>
  <c r="Q14" i="8"/>
  <c r="AA25" i="8"/>
  <c r="AB25" i="8"/>
  <c r="AB17" i="8"/>
  <c r="AA17" i="8"/>
  <c r="F33" i="1"/>
  <c r="G17" i="1"/>
  <c r="Y23" i="8"/>
  <c r="AA21" i="8"/>
  <c r="AB21" i="8"/>
  <c r="AA22" i="8"/>
  <c r="AB22" i="8"/>
  <c r="Q22" i="8"/>
  <c r="S22" i="8"/>
  <c r="F57" i="1"/>
  <c r="K57" i="1" s="1"/>
  <c r="M57" i="1" s="1"/>
  <c r="G53" i="1"/>
  <c r="I11" i="1" l="1"/>
  <c r="W11" i="1"/>
  <c r="A174" i="6"/>
  <c r="A175" i="6" s="1"/>
  <c r="A176" i="6" s="1"/>
  <c r="A172" i="6"/>
  <c r="A173" i="6" s="1"/>
  <c r="AB13" i="8"/>
  <c r="M37" i="1"/>
  <c r="S37" i="1"/>
  <c r="A26" i="7"/>
  <c r="A27" i="7" s="1"/>
  <c r="A89" i="6"/>
  <c r="A90" i="6" s="1"/>
  <c r="F53" i="1"/>
  <c r="K53" i="1" s="1"/>
  <c r="M53" i="1" s="1"/>
  <c r="G49" i="1"/>
  <c r="A159" i="6"/>
  <c r="A160" i="6" s="1"/>
  <c r="A30" i="15"/>
  <c r="A31" i="15" s="1"/>
  <c r="A32" i="15" s="1"/>
  <c r="A142" i="6"/>
  <c r="G15" i="1"/>
  <c r="K33" i="1"/>
  <c r="F17" i="1"/>
  <c r="G12" i="8"/>
  <c r="AA11" i="8" s="1"/>
  <c r="AB11" i="8" s="1"/>
  <c r="O13" i="8"/>
  <c r="A19" i="6"/>
  <c r="A143" i="6" l="1"/>
  <c r="A144" i="6" s="1"/>
  <c r="O12" i="8"/>
  <c r="Y12" i="8" s="1"/>
  <c r="Y13" i="8"/>
  <c r="M33" i="1"/>
  <c r="S33" i="1"/>
  <c r="G13" i="1"/>
  <c r="A91" i="6"/>
  <c r="A20" i="6"/>
  <c r="A21" i="6" s="1"/>
  <c r="A33" i="15"/>
  <c r="A34" i="15" s="1"/>
  <c r="A161" i="6"/>
  <c r="F49" i="1"/>
  <c r="G47" i="1"/>
  <c r="K17" i="1"/>
  <c r="F15" i="1"/>
  <c r="A28" i="7"/>
  <c r="A37" i="15" l="1"/>
  <c r="A29" i="7"/>
  <c r="M17" i="1"/>
  <c r="S17" i="1"/>
  <c r="EV13" i="1"/>
  <c r="G12" i="1"/>
  <c r="A145" i="6"/>
  <c r="A146" i="6" s="1"/>
  <c r="A22" i="6"/>
  <c r="A23" i="6" s="1"/>
  <c r="F13" i="1"/>
  <c r="K15" i="1"/>
  <c r="K49" i="1"/>
  <c r="M49" i="1" s="1"/>
  <c r="F47" i="1"/>
  <c r="K47" i="1" s="1"/>
  <c r="M47" i="1" s="1"/>
  <c r="A93" i="6"/>
  <c r="A24" i="6" l="1"/>
  <c r="A25" i="6" s="1"/>
  <c r="A26" i="6" s="1"/>
  <c r="A27" i="6" s="1"/>
  <c r="A28" i="6" s="1"/>
  <c r="F12" i="1"/>
  <c r="F11" i="1" s="1"/>
  <c r="A94" i="6"/>
  <c r="A95" i="6" s="1"/>
  <c r="A96" i="6" s="1"/>
  <c r="A97" i="6" s="1"/>
  <c r="A98" i="6" s="1"/>
  <c r="A99" i="6" s="1"/>
  <c r="A100" i="6" s="1"/>
  <c r="A101" i="6" s="1"/>
  <c r="A102" i="6" s="1"/>
  <c r="A103" i="6" s="1"/>
  <c r="A104" i="6" s="1"/>
  <c r="A105" i="6" s="1"/>
  <c r="A106" i="6" s="1"/>
  <c r="A107" i="6" s="1"/>
  <c r="A108" i="6" s="1"/>
  <c r="A109" i="6" s="1"/>
  <c r="A110" i="6" s="1"/>
  <c r="A111" i="6" s="1"/>
  <c r="A112" i="6" s="1"/>
  <c r="A113" i="6" s="1"/>
  <c r="A114" i="6" s="1"/>
  <c r="A115" i="6" s="1"/>
  <c r="A116" i="6" s="1"/>
  <c r="A117" i="6" s="1"/>
  <c r="A118" i="6" s="1"/>
  <c r="A120" i="6" s="1"/>
  <c r="A121" i="6" s="1"/>
  <c r="A122" i="6" s="1"/>
  <c r="A123" i="6" s="1"/>
  <c r="A125" i="6" s="1"/>
  <c r="A126" i="6" s="1"/>
  <c r="A127" i="6" s="1"/>
  <c r="A128" i="6" s="1"/>
  <c r="A130" i="6" s="1"/>
  <c r="A38" i="15"/>
  <c r="A39" i="15" s="1"/>
  <c r="A40" i="15" s="1"/>
  <c r="A41" i="15" s="1"/>
  <c r="A42" i="15" s="1"/>
  <c r="A43" i="15" s="1"/>
  <c r="A44" i="15" s="1"/>
  <c r="A45" i="15" s="1"/>
  <c r="A46" i="15" s="1"/>
  <c r="A47" i="15" s="1"/>
  <c r="A48" i="15" s="1"/>
  <c r="A49" i="15" s="1"/>
  <c r="A50" i="15" s="1"/>
  <c r="A51" i="15" s="1"/>
  <c r="A52" i="15" s="1"/>
  <c r="A53" i="15" s="1"/>
  <c r="M15" i="1"/>
  <c r="K13" i="1"/>
  <c r="S15" i="1"/>
  <c r="G11" i="1"/>
  <c r="S47" i="1"/>
  <c r="A30" i="7"/>
  <c r="M13" i="1" l="1"/>
  <c r="K12" i="1"/>
  <c r="S13" i="1"/>
  <c r="A55" i="15"/>
  <c r="A56" i="15" s="1"/>
  <c r="A57" i="15" s="1"/>
  <c r="A31" i="7"/>
  <c r="A30" i="6"/>
  <c r="A31" i="6" s="1"/>
  <c r="A32" i="6" s="1"/>
  <c r="A33" i="6" s="1"/>
  <c r="A34" i="6" s="1"/>
  <c r="A35" i="6" s="1"/>
  <c r="A36" i="6" s="1"/>
  <c r="A37" i="6" s="1"/>
  <c r="A38" i="6" s="1"/>
  <c r="A39" i="6" s="1"/>
  <c r="A40" i="6" s="1"/>
  <c r="A41" i="6" s="1"/>
  <c r="A42" i="6" s="1"/>
  <c r="A43" i="6" s="1"/>
  <c r="A44" i="6" s="1"/>
  <c r="A45" i="6" s="1"/>
  <c r="A46" i="6" s="1"/>
  <c r="A47" i="6" s="1"/>
  <c r="A48" i="6" s="1"/>
  <c r="A49" i="6" s="1"/>
  <c r="A50" i="6" s="1"/>
  <c r="A51" i="6" s="1"/>
  <c r="A52" i="6" s="1"/>
  <c r="A53" i="6" s="1"/>
  <c r="A54" i="6" s="1"/>
  <c r="A55" i="6" s="1"/>
  <c r="A56" i="6" s="1"/>
  <c r="A57" i="6" s="1"/>
  <c r="A58" i="6" s="1"/>
  <c r="A59" i="6" s="1"/>
  <c r="A60" i="6" s="1"/>
  <c r="A61" i="6" s="1"/>
  <c r="A62" i="6" s="1"/>
  <c r="A63" i="6" s="1"/>
  <c r="A64" i="6" s="1"/>
  <c r="A65" i="6" s="1"/>
  <c r="A66" i="6" s="1"/>
  <c r="A67" i="6" s="1"/>
  <c r="A68" i="6" s="1"/>
  <c r="A69" i="6" s="1"/>
  <c r="A70" i="6" s="1"/>
  <c r="A71" i="6" s="1"/>
  <c r="A72" i="6" s="1"/>
  <c r="A32" i="7" l="1"/>
  <c r="A33" i="7" s="1"/>
  <c r="A34" i="7" s="1"/>
  <c r="A35" i="7" s="1"/>
  <c r="A36" i="7" s="1"/>
  <c r="A37" i="7" s="1"/>
  <c r="A38" i="7" s="1"/>
  <c r="A39" i="7" s="1"/>
  <c r="A40" i="7" s="1"/>
  <c r="A41" i="7" s="1"/>
  <c r="A42" i="7" s="1"/>
  <c r="A43" i="7" s="1"/>
  <c r="A44" i="7" s="1"/>
  <c r="A45" i="7" s="1"/>
  <c r="A46" i="7" s="1"/>
  <c r="A47" i="7" s="1"/>
  <c r="A48" i="7" s="1"/>
  <c r="A49" i="7" s="1"/>
  <c r="A52" i="7" s="1"/>
  <c r="A55" i="7" s="1"/>
  <c r="A58" i="15"/>
  <c r="K11" i="1"/>
  <c r="S12" i="1"/>
  <c r="A59" i="15" l="1"/>
  <c r="A60" i="15" s="1"/>
  <c r="A56" i="7"/>
  <c r="A57" i="7" s="1"/>
  <c r="A60" i="7" s="1"/>
  <c r="A63" i="7" s="1"/>
  <c r="A66" i="7" s="1"/>
  <c r="A67" i="7" s="1"/>
  <c r="A68" i="7" s="1"/>
  <c r="A69" i="7" s="1"/>
  <c r="A70" i="7" s="1"/>
  <c r="A73" i="7" s="1"/>
  <c r="A76" i="7" s="1"/>
  <c r="A77" i="7" s="1"/>
  <c r="A78" i="7" s="1"/>
  <c r="A79" i="7" s="1"/>
  <c r="A80" i="7" s="1"/>
  <c r="A81" i="7" s="1"/>
  <c r="A82" i="7" s="1"/>
  <c r="A83" i="7" s="1"/>
  <c r="A84" i="7" s="1"/>
  <c r="A87" i="7" s="1"/>
  <c r="A90" i="7" s="1"/>
  <c r="A91" i="7" s="1"/>
  <c r="A92" i="7" s="1"/>
  <c r="A93" i="7" s="1"/>
  <c r="A94" i="7" s="1"/>
  <c r="A95" i="7" s="1"/>
  <c r="A96" i="7" s="1"/>
  <c r="A97" i="7" s="1"/>
  <c r="A99" i="7" s="1"/>
  <c r="A100" i="7" s="1"/>
  <c r="A101" i="7" s="1"/>
  <c r="A102" i="7" s="1"/>
  <c r="A104" i="7" s="1"/>
  <c r="A106" i="7" s="1"/>
  <c r="A108" i="7" s="1"/>
  <c r="A109" i="7" s="1"/>
  <c r="A111" i="7" s="1"/>
  <c r="A113" i="7" s="1"/>
  <c r="A114" i="7" s="1"/>
  <c r="A116" i="7" s="1"/>
  <c r="A117" i="7" s="1"/>
  <c r="A118" i="7" s="1"/>
  <c r="A119" i="7" s="1"/>
  <c r="A120" i="7" s="1"/>
  <c r="A121" i="7" s="1"/>
  <c r="A61" i="15" l="1"/>
  <c r="A62" i="15" l="1"/>
  <c r="A63" i="15" s="1"/>
  <c r="A64" i="15" s="1"/>
  <c r="A65" i="15" s="1"/>
  <c r="A66" i="15" s="1"/>
  <c r="A67" i="15" s="1"/>
  <c r="A68" i="15" s="1"/>
  <c r="A69" i="15" s="1"/>
  <c r="A70" i="15" s="1"/>
  <c r="A71" i="15" s="1"/>
  <c r="A72" i="15" s="1"/>
  <c r="A73" i="15" s="1"/>
  <c r="A74" i="15" s="1"/>
  <c r="A75" i="15" s="1"/>
  <c r="A76" i="15" s="1"/>
  <c r="A77" i="15" s="1"/>
  <c r="A78" i="15" s="1"/>
  <c r="A79" i="15" s="1"/>
  <c r="A80" i="15" s="1"/>
  <c r="A82" i="15" s="1"/>
  <c r="A83" i="15" s="1"/>
  <c r="A84" i="15" s="1"/>
  <c r="A86" i="15" s="1"/>
  <c r="A87" i="15" s="1"/>
  <c r="A88" i="15" s="1"/>
  <c r="A89" i="15" s="1"/>
  <c r="A91" i="15" s="1"/>
  <c r="A94" i="15" s="1"/>
  <c r="A95" i="15" s="1"/>
  <c r="A96" i="15" s="1"/>
  <c r="A97" i="15" s="1"/>
  <c r="A98" i="15" s="1"/>
  <c r="A99" i="15" s="1"/>
  <c r="A100" i="15" s="1"/>
  <c r="A101" i="15" s="1"/>
  <c r="A102" i="15" s="1"/>
  <c r="A103" i="15" s="1"/>
  <c r="A104" i="15" s="1"/>
  <c r="A107" i="15" s="1"/>
  <c r="A108" i="15" s="1"/>
  <c r="A109" i="15" s="1"/>
  <c r="A110" i="15" s="1"/>
  <c r="A111" i="15" s="1"/>
  <c r="A112" i="15" s="1"/>
  <c r="A113" i="15" s="1"/>
  <c r="A114" i="15" s="1"/>
  <c r="A115" i="15" s="1"/>
  <c r="A116" i="15" s="1"/>
  <c r="A117" i="15" s="1"/>
  <c r="A118" i="15" s="1"/>
  <c r="A119" i="15" s="1"/>
  <c r="A122" i="15" s="1"/>
  <c r="A123" i="15" l="1"/>
  <c r="A124" i="15" s="1"/>
  <c r="A125" i="15" s="1"/>
  <c r="A126" i="15" s="1"/>
  <c r="A127" i="15" s="1"/>
  <c r="A128" i="15" s="1"/>
  <c r="A129" i="15" s="1"/>
  <c r="A130" i="15" s="1"/>
  <c r="A131" i="15" s="1"/>
  <c r="A132" i="15" s="1"/>
  <c r="A133" i="15" s="1"/>
  <c r="A136" i="15" l="1"/>
  <c r="A137" i="15" l="1"/>
  <c r="A138" i="15" s="1"/>
  <c r="A139" i="15" l="1"/>
  <c r="A140" i="15" s="1"/>
  <c r="A141" i="15" l="1"/>
  <c r="A142" i="15" s="1"/>
  <c r="A145" i="15" s="1"/>
  <c r="A148" i="15" s="1"/>
  <c r="A151" i="15" l="1"/>
  <c r="A152" i="15" s="1"/>
  <c r="A153" i="15" l="1"/>
  <c r="A156" i="15" s="1"/>
  <c r="A159" i="15" l="1"/>
  <c r="A160" i="15" s="1"/>
  <c r="A161" i="15" s="1"/>
  <c r="A162" i="15" s="1"/>
  <c r="A163" i="15" s="1"/>
  <c r="A166" i="15" s="1"/>
  <c r="A169" i="15" s="1"/>
  <c r="A170" i="15" s="1"/>
  <c r="A173" i="15" s="1"/>
  <c r="A176" i="15" s="1"/>
  <c r="A177" i="15" s="1"/>
  <c r="A178" i="15" s="1"/>
  <c r="A179" i="15" s="1"/>
  <c r="A182" i="15" s="1"/>
  <c r="A184" i="15" s="1"/>
  <c r="A185" i="15" s="1"/>
  <c r="A186" i="15" s="1"/>
  <c r="A187" i="15" s="1"/>
  <c r="A189" i="15" s="1"/>
  <c r="A190" i="15" s="1"/>
  <c r="A191" i="15" s="1"/>
  <c r="A192" i="15" s="1"/>
  <c r="A194" i="15" s="1"/>
  <c r="A195" i="15" s="1"/>
  <c r="A196" i="15" s="1"/>
  <c r="A198" i="15" s="1"/>
  <c r="A199" i="15" s="1"/>
  <c r="A201" i="15" s="1"/>
  <c r="A202" i="15" s="1"/>
  <c r="A204" i="15" s="1"/>
  <c r="A205" i="15" s="1"/>
  <c r="A206" i="15" s="1"/>
  <c r="A207" i="15" s="1"/>
  <c r="A209" i="15" s="1"/>
  <c r="A210" i="15" s="1"/>
  <c r="A211" i="15" s="1"/>
  <c r="A212" i="15" s="1"/>
  <c r="A213" i="15" s="1"/>
  <c r="A215" i="15" s="1"/>
  <c r="A216" i="15" s="1"/>
  <c r="A217" i="15" s="1"/>
  <c r="A218" i="15" s="1"/>
  <c r="A219" i="15" s="1"/>
  <c r="A220" i="15" s="1"/>
  <c r="A221" i="15" s="1"/>
  <c r="A222" i="15" s="1"/>
  <c r="A224" i="15" s="1"/>
  <c r="A225" i="15" s="1"/>
  <c r="A226" i="15" s="1"/>
  <c r="A227" i="15" s="1"/>
  <c r="A228" i="15" s="1"/>
  <c r="A230" i="15" s="1"/>
  <c r="A231" i="15" s="1"/>
  <c r="A232" i="15" s="1"/>
  <c r="A233" i="15" s="1"/>
  <c r="A235" i="15" s="1"/>
  <c r="A236" i="15" s="1"/>
  <c r="A237" i="15" s="1"/>
  <c r="A239" i="15" s="1"/>
  <c r="A240" i="15" s="1"/>
</calcChain>
</file>

<file path=xl/comments1.xml><?xml version="1.0" encoding="utf-8"?>
<comments xmlns="http://schemas.openxmlformats.org/spreadsheetml/2006/main">
  <authors>
    <author>Admin</author>
    <author>AutoBVT</author>
    <author>Windows 7</author>
  </authors>
  <commentList>
    <comment ref="D14" authorId="0" shapeId="0">
      <text>
        <r>
          <rPr>
            <b/>
            <sz val="9"/>
            <color indexed="81"/>
            <rFont val="Tahoma"/>
            <family val="2"/>
          </rPr>
          <t>tăng 2.015,24 tỷ tại QĐ 1270;
DC giảm 1767,40 tỷ đồng</t>
        </r>
      </text>
    </comment>
    <comment ref="T15" authorId="1" shapeId="0">
      <text>
        <r>
          <rPr>
            <b/>
            <sz val="9"/>
            <color indexed="81"/>
            <rFont val="Tahoma"/>
            <family val="2"/>
          </rPr>
          <t>lệch 7,320 là số hoàn trả tạm ứng, ứng trước</t>
        </r>
      </text>
    </comment>
    <comment ref="G18" authorId="0" shapeId="0">
      <text>
        <r>
          <rPr>
            <b/>
            <sz val="9"/>
            <color indexed="81"/>
            <rFont val="Tahoma"/>
            <family val="2"/>
          </rPr>
          <t>Admin:</t>
        </r>
        <r>
          <rPr>
            <sz val="9"/>
            <color indexed="81"/>
            <rFont val="Tahoma"/>
            <family val="2"/>
          </rPr>
          <t xml:space="preserve">
gồm trả nợ gốc 8 tỷ. Tuy nhiên năm 2021 trả nợ gốc chỉ thực hiện 5,120 tỷ, còn lại 2,880 tỷ chưa phân khai. Nếu bao gồm 2,880 thì tổng số sẽ là 162,330 tỷ đồng</t>
        </r>
      </text>
    </comment>
    <comment ref="H18" authorId="0" shapeId="0">
      <text>
        <r>
          <rPr>
            <b/>
            <sz val="9"/>
            <color indexed="81"/>
            <rFont val="Tahoma"/>
            <family val="2"/>
          </rPr>
          <t>Admin:</t>
        </r>
        <r>
          <rPr>
            <sz val="9"/>
            <color indexed="81"/>
            <rFont val="Tahoma"/>
            <family val="2"/>
          </rPr>
          <t xml:space="preserve">
gồm 32 tỷ hoàn ứng xi măng từ nguồn vượt thu 2021</t>
        </r>
      </text>
    </comment>
    <comment ref="D21" authorId="2" shapeId="0">
      <text>
        <r>
          <rPr>
            <b/>
            <sz val="9"/>
            <color indexed="81"/>
            <rFont val="Tahoma"/>
            <family val="2"/>
            <charset val="163"/>
          </rPr>
          <t>tăng 24,495 tỷ đồng tại QĐ 1011 ngày 25/9/2023</t>
        </r>
      </text>
    </comment>
    <comment ref="I21" authorId="2" shapeId="0">
      <text>
        <r>
          <rPr>
            <b/>
            <sz val="9"/>
            <color indexed="81"/>
            <rFont val="Tahoma"/>
            <family val="2"/>
            <charset val="163"/>
          </rPr>
          <t>DC tăng 11,059 tỷ đồng tại QĐ 1012 ngày 25/9/2023</t>
        </r>
      </text>
    </comment>
    <comment ref="D26" authorId="2" shapeId="0">
      <text>
        <r>
          <rPr>
            <b/>
            <sz val="9"/>
            <color indexed="81"/>
            <rFont val="Tahoma"/>
            <family val="2"/>
            <charset val="163"/>
          </rPr>
          <t>DC giảm 45 tỷ đồng tại QĐ 1011 ngày 25/9/2023</t>
        </r>
      </text>
    </comment>
    <comment ref="I26" authorId="2" shapeId="0">
      <text>
        <r>
          <rPr>
            <b/>
            <sz val="9"/>
            <color indexed="81"/>
            <rFont val="Tahoma"/>
            <family val="2"/>
            <charset val="163"/>
          </rPr>
          <t>ĐC giảm 5 tỷ đồng tại QĐ 1011 ngày 25/9/2023</t>
        </r>
      </text>
    </comment>
    <comment ref="D33" authorId="0" shapeId="0">
      <text>
        <r>
          <rPr>
            <b/>
            <sz val="9"/>
            <color indexed="81"/>
            <rFont val="Tahoma"/>
            <family val="2"/>
          </rPr>
          <t xml:space="preserve">lệch 169 tr tại phụ lục 6
</t>
        </r>
      </text>
    </comment>
    <comment ref="D38" authorId="2" shapeId="0">
      <text>
        <r>
          <rPr>
            <b/>
            <sz val="9"/>
            <color indexed="81"/>
            <rFont val="Tahoma"/>
            <family val="2"/>
            <charset val="163"/>
          </rPr>
          <t>DC giảm 24,49506 tỷ đồng tại QĐ 1011 ngày 25/9/2023</t>
        </r>
      </text>
    </comment>
    <comment ref="A44" authorId="0" shapeId="0">
      <text>
        <r>
          <rPr>
            <b/>
            <sz val="9"/>
            <color indexed="81"/>
            <rFont val="Tahoma"/>
            <family val="2"/>
          </rPr>
          <t>Bổ sung mục theo QĐ 1270</t>
        </r>
      </text>
    </comment>
  </commentList>
</comments>
</file>

<file path=xl/comments2.xml><?xml version="1.0" encoding="utf-8"?>
<comments xmlns="http://schemas.openxmlformats.org/spreadsheetml/2006/main">
  <authors>
    <author>Windows 7</author>
  </authors>
  <commentList>
    <comment ref="T16" authorId="0" shapeId="0">
      <text>
        <r>
          <rPr>
            <b/>
            <sz val="9"/>
            <color indexed="81"/>
            <rFont val="Tahoma"/>
            <family val="2"/>
            <charset val="163"/>
          </rPr>
          <t>KH trung han đã giao là 9,0 tỷ đồng, hiện đang trình HĐND tỉnh điều chỉnh giảm 3,745 tỷ đồng, còn lại 5,255 tỷ đồng</t>
        </r>
      </text>
    </comment>
  </commentList>
</comments>
</file>

<file path=xl/comments3.xml><?xml version="1.0" encoding="utf-8"?>
<comments xmlns="http://schemas.openxmlformats.org/spreadsheetml/2006/main">
  <authors>
    <author>Admin</author>
  </authors>
  <commentList>
    <comment ref="H14" authorId="0" shapeId="0">
      <text>
        <r>
          <rPr>
            <b/>
            <sz val="9"/>
            <color indexed="81"/>
            <rFont val="Tahoma"/>
            <family val="2"/>
          </rPr>
          <t>Admin:</t>
        </r>
        <r>
          <rPr>
            <sz val="9"/>
            <color indexed="81"/>
            <rFont val="Tahoma"/>
            <family val="2"/>
          </rPr>
          <t xml:space="preserve">
Đang tăng TMĐT</t>
        </r>
      </text>
    </comment>
    <comment ref="B15" authorId="0" shapeId="0">
      <text>
        <r>
          <rPr>
            <b/>
            <sz val="9"/>
            <color indexed="81"/>
            <rFont val="Tahoma"/>
            <family val="2"/>
          </rPr>
          <t>ĐC Dự án dự kiến khởi công mới giai đoạn 2021 - 2025 (chưa hoàn chỉnh thủ tục trình CTĐT) sang DM giao chính thức KHVTH đợt 2 tại QĐ 1270</t>
        </r>
      </text>
    </comment>
    <comment ref="B17" authorId="0" shapeId="0">
      <text>
        <r>
          <rPr>
            <b/>
            <sz val="9"/>
            <color indexed="81"/>
            <rFont val="Tahoma"/>
            <family val="2"/>
          </rPr>
          <t>Admin:</t>
        </r>
        <r>
          <rPr>
            <sz val="9"/>
            <color indexed="81"/>
            <rFont val="Tahoma"/>
            <family val="2"/>
          </rPr>
          <t xml:space="preserve">
Vsip II</t>
        </r>
      </text>
    </comment>
    <comment ref="B20" authorId="0" shapeId="0">
      <text>
        <r>
          <rPr>
            <b/>
            <sz val="9"/>
            <color indexed="81"/>
            <rFont val="Tahoma"/>
            <family val="2"/>
          </rPr>
          <t>Điều chỉnh danh mục chưa đủ thủ tục đầu tư tại QĐ 890 sang danh mục giao kế hoạch trung hạn đợt 2 tại QĐ 1270</t>
        </r>
        <r>
          <rPr>
            <sz val="9"/>
            <color indexed="81"/>
            <rFont val="Tahoma"/>
            <family val="2"/>
          </rPr>
          <t xml:space="preserve">
</t>
        </r>
      </text>
    </comment>
  </commentList>
</comments>
</file>

<file path=xl/comments4.xml><?xml version="1.0" encoding="utf-8"?>
<comments xmlns="http://schemas.openxmlformats.org/spreadsheetml/2006/main">
  <authors>
    <author>Windows 7</author>
  </authors>
  <commentList>
    <comment ref="D13" authorId="0" shapeId="0">
      <text>
        <r>
          <rPr>
            <b/>
            <sz val="9"/>
            <color indexed="81"/>
            <rFont val="Tahoma"/>
            <family val="2"/>
            <charset val="163"/>
          </rPr>
          <t>Điều chỉnh giảm tại QĐ 1011 ngày 25/9/2023</t>
        </r>
      </text>
    </comment>
    <comment ref="D14" authorId="0" shapeId="0">
      <text>
        <r>
          <rPr>
            <b/>
            <sz val="9"/>
            <color indexed="81"/>
            <rFont val="Tahoma"/>
            <family val="2"/>
            <charset val="163"/>
          </rPr>
          <t>Điều chỉnh giảm tại QĐ 1011 ngày 25/9/2023</t>
        </r>
      </text>
    </comment>
    <comment ref="D15" authorId="0" shapeId="0">
      <text>
        <r>
          <rPr>
            <b/>
            <sz val="9"/>
            <color indexed="81"/>
            <rFont val="Tahoma"/>
            <family val="2"/>
            <charset val="163"/>
          </rPr>
          <t>Điều chỉnh giảm tại QĐ 1011 ngày 25/9/2023</t>
        </r>
      </text>
    </comment>
    <comment ref="D16" authorId="0" shapeId="0">
      <text>
        <r>
          <rPr>
            <b/>
            <sz val="9"/>
            <color indexed="81"/>
            <rFont val="Tahoma"/>
            <family val="2"/>
            <charset val="163"/>
          </rPr>
          <t>Điều chỉnh giảm tại QĐ 1011 ngày 25/9/2023</t>
        </r>
      </text>
    </comment>
    <comment ref="D17" authorId="0" shapeId="0">
      <text>
        <r>
          <rPr>
            <b/>
            <sz val="9"/>
            <color indexed="81"/>
            <rFont val="Tahoma"/>
            <family val="2"/>
            <charset val="163"/>
          </rPr>
          <t>Điều chỉnh giảm tại QĐ 1011 ngày 25/9/2023</t>
        </r>
      </text>
    </comment>
    <comment ref="D18" authorId="0" shapeId="0">
      <text>
        <r>
          <rPr>
            <b/>
            <sz val="9"/>
            <color indexed="81"/>
            <rFont val="Tahoma"/>
            <family val="2"/>
            <charset val="163"/>
          </rPr>
          <t>Điều chỉnh giảm tại QĐ 1011 ngày 25/9/2023</t>
        </r>
      </text>
    </comment>
    <comment ref="D19" authorId="0" shapeId="0">
      <text>
        <r>
          <rPr>
            <b/>
            <sz val="9"/>
            <color indexed="81"/>
            <rFont val="Tahoma"/>
            <family val="2"/>
            <charset val="163"/>
          </rPr>
          <t>Điều chỉnh giảm tại QĐ 1011 ngày 25/9/2023</t>
        </r>
      </text>
    </comment>
    <comment ref="D20" authorId="0" shapeId="0">
      <text>
        <r>
          <rPr>
            <b/>
            <sz val="9"/>
            <color indexed="81"/>
            <rFont val="Tahoma"/>
            <family val="2"/>
            <charset val="163"/>
          </rPr>
          <t>Điều chỉnh giảm tại QĐ 1011 ngày 25/9/2023</t>
        </r>
      </text>
    </comment>
    <comment ref="D21" authorId="0" shapeId="0">
      <text>
        <r>
          <rPr>
            <b/>
            <sz val="9"/>
            <color indexed="81"/>
            <rFont val="Tahoma"/>
            <family val="2"/>
            <charset val="163"/>
          </rPr>
          <t>Điều chỉnh giảm tại QĐ 1011 ngày 25/9/2023</t>
        </r>
      </text>
    </comment>
    <comment ref="D22" authorId="0" shapeId="0">
      <text>
        <r>
          <rPr>
            <b/>
            <sz val="9"/>
            <color indexed="81"/>
            <rFont val="Tahoma"/>
            <family val="2"/>
            <charset val="163"/>
          </rPr>
          <t>Điều chỉnh giảm tại QĐ 1011 ngày 25/9/2023</t>
        </r>
      </text>
    </comment>
    <comment ref="D23" authorId="0" shapeId="0">
      <text>
        <r>
          <rPr>
            <b/>
            <sz val="9"/>
            <color indexed="81"/>
            <rFont val="Tahoma"/>
            <family val="2"/>
            <charset val="163"/>
          </rPr>
          <t>Điều chỉnh giảm tại QĐ 1011 ngày 25/9/2023</t>
        </r>
      </text>
    </comment>
    <comment ref="D24" authorId="0" shapeId="0">
      <text>
        <r>
          <rPr>
            <b/>
            <sz val="9"/>
            <color indexed="81"/>
            <rFont val="Tahoma"/>
            <family val="2"/>
            <charset val="163"/>
          </rPr>
          <t>Điều chỉnh giảm tại QĐ 1011 ngày 25/9/2023</t>
        </r>
      </text>
    </comment>
    <comment ref="D25" authorId="0" shapeId="0">
      <text>
        <r>
          <rPr>
            <b/>
            <sz val="9"/>
            <color indexed="81"/>
            <rFont val="Tahoma"/>
            <family val="2"/>
            <charset val="163"/>
          </rPr>
          <t>Điều chỉnh giảm tại QĐ 1011 ngày 25/9/2023</t>
        </r>
      </text>
    </comment>
  </commentList>
</comments>
</file>

<file path=xl/sharedStrings.xml><?xml version="1.0" encoding="utf-8"?>
<sst xmlns="http://schemas.openxmlformats.org/spreadsheetml/2006/main" count="3751" uniqueCount="1044">
  <si>
    <t>Tỉnh Quảng Ngãi</t>
  </si>
  <si>
    <t>PHỤ LỤC TỔNG HỢP</t>
  </si>
  <si>
    <t>KẾ HOẠCH ĐẦU TƯ CÔNG TRUNG HẠN GIAI ĐOẠN 2021 - 2025</t>
  </si>
  <si>
    <t>(Kèm theo Báo cáo số        /BC-SKHĐT ngày      /03/2024 của Sở Kế hoạch và Đầu tư)</t>
  </si>
  <si>
    <t>TT</t>
  </si>
  <si>
    <t>Nguồn vốn</t>
  </si>
  <si>
    <t>Kế hoạch trung hạn giai đoạn 2021-2025</t>
  </si>
  <si>
    <t>Đã giao kế hoạch vốn hàng năm 2021-2024</t>
  </si>
  <si>
    <t>KH trung hạn còn lại chưa giao</t>
  </si>
  <si>
    <t>Ghi chú</t>
  </si>
  <si>
    <t>Thuyết minh</t>
  </si>
  <si>
    <t>Tổng số vốn đã giao</t>
  </si>
  <si>
    <t>Trong đó:</t>
  </si>
  <si>
    <t>Năm 2021</t>
  </si>
  <si>
    <t>Năm 2022</t>
  </si>
  <si>
    <t>Năm 2023</t>
  </si>
  <si>
    <t>Năm 2024</t>
  </si>
  <si>
    <t>Số kiểm tra</t>
  </si>
  <si>
    <t>Lệch</t>
  </si>
  <si>
    <t>TỔNG CỘNG (A+B)</t>
  </si>
  <si>
    <t>A</t>
  </si>
  <si>
    <t>Vốn Ngân sách địa phương</t>
  </si>
  <si>
    <t>I</t>
  </si>
  <si>
    <t>Vốn XDCB tập trung của tỉnh</t>
  </si>
  <si>
    <t>*</t>
  </si>
  <si>
    <t>Dự phòng chung trung hạn</t>
  </si>
  <si>
    <t>Mức dự phòng bằng 4,6% trung hạn</t>
  </si>
  <si>
    <t>**</t>
  </si>
  <si>
    <t>Phân khai kế hoạch trung hạn</t>
  </si>
  <si>
    <t>I.1</t>
  </si>
  <si>
    <t>Phân cấp các địa phương</t>
  </si>
  <si>
    <t>I.2</t>
  </si>
  <si>
    <t>Bố trí cho các nhiệm vụ của tỉnh</t>
  </si>
  <si>
    <t>Hoàn trả tạm ứng, ứng trước và trả nợ gốc</t>
  </si>
  <si>
    <t>Bổ sung trả nợ gốc theo số STC báo cáo</t>
  </si>
  <si>
    <t>Đối ứng ODA (bao gồm các dự án mới phát sinh)</t>
  </si>
  <si>
    <t>Giảm theo khả năng thực hiện</t>
  </si>
  <si>
    <t>I.3</t>
  </si>
  <si>
    <t>Bố trí quyết toán dự án hoàn thành</t>
  </si>
  <si>
    <t>Còn lại chưa phân bổ là 107 tỷ đồng để bố trí các dự án còn 1 ít nợ quyết toán</t>
  </si>
  <si>
    <t>I.4</t>
  </si>
  <si>
    <t>Vốn đối ứng của tỉnh thực hiện các Chương trình mục tiêu quốc gia và một số chương trình khác</t>
  </si>
  <si>
    <t>Vì nguồn XSKT hụt thu nên bổ sung từ nguồn XDCB để đảm bảo mức vốn đối ứng đã giao ban đầu</t>
  </si>
  <si>
    <t>I.5</t>
  </si>
  <si>
    <t>Chuẩn bị đầu tư</t>
  </si>
  <si>
    <t>Đủ nhu cầu</t>
  </si>
  <si>
    <t>I.6</t>
  </si>
  <si>
    <t>Vốn thực hiện chính sách thu hút đầu tư hoặc tham gia dự án theo phương thức đối tác công tư (nếu có)</t>
  </si>
  <si>
    <t>Điều kiện để sử dụng nguồn vốn này khó nhưng để đủ nhiệm vụ theo nguyên tắc phân bổ thì vẫn giữ lại 5 tỷ đồng, sẽ điều chỉnh nếu cuối kỳ không có nhu cầu</t>
  </si>
  <si>
    <t>I.7</t>
  </si>
  <si>
    <t>Thực hiện nhiệm vụ quy hoạch tỉnh Quảng Ngãi</t>
  </si>
  <si>
    <t>I.8</t>
  </si>
  <si>
    <t>Đối ứng các dự án sử dụng vốn NSTW</t>
  </si>
  <si>
    <t>-</t>
  </si>
  <si>
    <t>Đối ứng kế hoạch trung hạn NSTW của tỉnh</t>
  </si>
  <si>
    <t>Bố trí đủ nhu cầu hoàn thành. Trong đó có 03 dự án cần trình HĐND tỉnh cho vô danh mục sử dụng vốn tỉnh là: 02 dự án quá thời gian của Ban Dung Quất và 01 dự án của Lý Sơn (BV Quân dân y)</t>
  </si>
  <si>
    <t>Đối ứng vốn của Bộ Ngành trung ương</t>
  </si>
  <si>
    <t>KH ban đầu bố trí cho 03 dự án của Bộ ngành (02 dự án của Bộ Công an và 01 dự án cảng cá Tịnh Hòa của Bộ NNPTNT). Nay đề nghị bổ sung thêm 20 tỷ để bố trí đối ứng dự án của Bộ Lao động là TT điều dưỡng người có công (được dự kiến từ nguồn XSKT nhưng hụt thu nên chuyển qua) và bổ sung 10 tỷ đồng cho CA huyện Sơn Hà</t>
  </si>
  <si>
    <t>Đối ứng Chương trình phục hồi và phát triển KT-XH</t>
  </si>
  <si>
    <t>Bổ sung thêm cho 02 dự án là trường Việt Hàn và 04 TTYT để đủ theo cơ cấu vốn được duyệt (TTg vừa ký QĐ số 888 ngày 24/7/2023 giao 276 tỷ cho Quảng Ngãi)</t>
  </si>
  <si>
    <t>I.9</t>
  </si>
  <si>
    <t>Bố trí chuyển tiếp các dự án từ giai đoạn 2016-2020</t>
  </si>
  <si>
    <t>Số đã rà soát với nhu cầu của Chủ đầu tư</t>
  </si>
  <si>
    <t>I.10</t>
  </si>
  <si>
    <t>Khởi công 2021-2023</t>
  </si>
  <si>
    <t>Khởi công mới các năm 2024, 2025</t>
  </si>
  <si>
    <t>II</t>
  </si>
  <si>
    <t>Xổ số kiến thiết</t>
  </si>
  <si>
    <t>II.1</t>
  </si>
  <si>
    <r>
      <t xml:space="preserve">Bố trí Chương trình MTQG xây dựng Nông thôn mới </t>
    </r>
    <r>
      <rPr>
        <i/>
        <sz val="12"/>
        <rFont val="Times New Roman"/>
        <family val="1"/>
      </rPr>
      <t>(bao gồm bố trí thực hiện Chương trình hỗ trợ phát triển KTTT, HTX; Cấp nước sạch nông thôn; Giao thông nông thôn)</t>
    </r>
  </si>
  <si>
    <t>Giảm do hụt thu và được bố trí lại từ nguồn XDCB tập trung</t>
  </si>
  <si>
    <t>II.2</t>
  </si>
  <si>
    <t>Bố trí thực hiện các dự án lĩnh vực y tế, giáo dục</t>
  </si>
  <si>
    <t>Bố trí chuyển tiếp từ giai đoạn 2016-2020</t>
  </si>
  <si>
    <t>Khởi công mới giai đoạn 2021 - 2025</t>
  </si>
  <si>
    <t>Khởi công mới 2024-2025</t>
  </si>
  <si>
    <t>Giảm vốn 02 dự án đã được bố trí từ vốn CTPH</t>
  </si>
  <si>
    <t>III</t>
  </si>
  <si>
    <t>Nguồn thu từ sắp xếp lại, xử lý nhà, đất thuộc sở hữu nhà nước</t>
  </si>
  <si>
    <t>III.1</t>
  </si>
  <si>
    <t>Các dự án thuộc danh mục này đến nay đã khởi công hết</t>
  </si>
  <si>
    <t>III.2</t>
  </si>
  <si>
    <t>Vốn chuẩn bị đầu tư</t>
  </si>
  <si>
    <t>IV</t>
  </si>
  <si>
    <t>Nguồn thu tiền sử dụng đất</t>
  </si>
  <si>
    <t>KH 2021</t>
  </si>
  <si>
    <t>KH 2022</t>
  </si>
  <si>
    <t>IV.1</t>
  </si>
  <si>
    <t>Giao các địa phương thu chi</t>
  </si>
  <si>
    <t>IV.2</t>
  </si>
  <si>
    <t>Các nhiệm vụ, dự án tỉnh quản lý</t>
  </si>
  <si>
    <t>Thực hiện đo đạc địa chính và cấp giấy chứng nhận quyền SDĐ (TW quy định tối thiểu 10%)</t>
  </si>
  <si>
    <t>Chuyển sang nhiệm vụ chi ĐTPT khác</t>
  </si>
  <si>
    <t>Bù hụt thu ngân sách năm 2020</t>
  </si>
  <si>
    <t>Đã thực hiện xong (thực nguồn từ vượt thu 2022)</t>
  </si>
  <si>
    <t>Bố trí chuẩn bị đầu tư</t>
  </si>
  <si>
    <t>Bố trí thực hiện dự án</t>
  </si>
  <si>
    <t>Dự án được lồng ghép với vốn XDCB tập trung</t>
  </si>
  <si>
    <t xml:space="preserve">Dự án khai thác quỹ đất tỉnh </t>
  </si>
  <si>
    <t>V</t>
  </si>
  <si>
    <t>Nguồn bội chi ngân sách địa phương</t>
  </si>
  <si>
    <t>B</t>
  </si>
  <si>
    <t>Vốn Ngân sách trung ương</t>
  </si>
  <si>
    <t>Vốn trong nước</t>
  </si>
  <si>
    <t>Bố trí theo ngành, lĩnh vực</t>
  </si>
  <si>
    <t>Chương trình mục tiêu quốc gia</t>
  </si>
  <si>
    <t>Xây dựng Nông thôn mới</t>
  </si>
  <si>
    <t>Giảm nghèo bền vững</t>
  </si>
  <si>
    <t>Phát triển KTXH vùng đồng bào DTTS</t>
  </si>
  <si>
    <t>Vốn Chương trình phục hồi và phát triển kinh tế - xã hội</t>
  </si>
  <si>
    <t>Vốn nước ngoài (ODA)</t>
  </si>
  <si>
    <t>Đối ứng Chương trình MTQG xây dựng Nông thôn mới (bao gồm bố trí thực hiện Chương trình hỗ trợ phát triển KTTT, HTX; Cấp nước sạch nông thôn; Giao thông nông thôn)</t>
  </si>
  <si>
    <t>Đối ứng Chương trình MTQG Giảm nghèo bền vững</t>
  </si>
  <si>
    <t>Đối ứng Chương trình MTQG phát triển kinh tế xã hội vùng đồng bào dân tộc thiểu số và miền núi</t>
  </si>
  <si>
    <t>Khởi công 2021-2024</t>
  </si>
  <si>
    <t>Chưa khởi công</t>
  </si>
  <si>
    <t>Dự án mới bổ sung trung hạn đợt này</t>
  </si>
  <si>
    <t>Dự án chuyển tiếp từ giai đoạn 2016-2020</t>
  </si>
  <si>
    <t>Dự án KCM giai đoạn 2021 - 2025</t>
  </si>
  <si>
    <t>Chuyển tiếp</t>
  </si>
  <si>
    <t>KCM</t>
  </si>
  <si>
    <t>chuyển tiếp xskt</t>
  </si>
  <si>
    <t>kcm xskt</t>
  </si>
  <si>
    <t>NSDP</t>
  </si>
  <si>
    <t>chuyển tiếp nstw trong nước</t>
  </si>
  <si>
    <t>kcm nstw trong nước</t>
  </si>
  <si>
    <t>kcm chương trình phục hồi</t>
  </si>
  <si>
    <t>chuyển tiếp ODA</t>
  </si>
  <si>
    <t>Tổng số dự án chuyển tiếp NSDP</t>
  </si>
  <si>
    <t>Tổng số dự án KCM NSDP</t>
  </si>
  <si>
    <t>KCM ODA</t>
  </si>
  <si>
    <t>Tổng số dự án chuyển tiếp NSTW</t>
  </si>
  <si>
    <t>Tổng số dự án KCM NSTW</t>
  </si>
  <si>
    <t>NSTW</t>
  </si>
  <si>
    <t>Tổng dự án NSTW+NSDP</t>
  </si>
  <si>
    <t>chuyển tiếp</t>
  </si>
  <si>
    <t>cắt 1 dự án</t>
  </si>
  <si>
    <t>NGUỒN VỐN</t>
  </si>
  <si>
    <t>TỔNG CỘNG</t>
  </si>
  <si>
    <t>VỐN NGÂN SÁCH TRUNG ƯƠNG</t>
  </si>
  <si>
    <t>Phụ lục 1</t>
  </si>
  <si>
    <t>Phụ lục 2</t>
  </si>
  <si>
    <t>Vốn đầu tư từ nguồn thu xổ số kiến thiết</t>
  </si>
  <si>
    <t xml:space="preserve">Vốn đầu tư từ nguồn sử dụng đất </t>
  </si>
  <si>
    <t>Vốn đầu tư từ nguồn bội chi ngân sách địa phương</t>
  </si>
  <si>
    <t>DỰ KIẾN KẾ HOẠCH ĐẦU TƯ CÔNG TRUNG HẠN GIAI ĐOẠN 2026-2030</t>
  </si>
  <si>
    <t>Dự kiến kế hoạch đầu tư công trung hạn giai đoạn 2026-2030</t>
  </si>
  <si>
    <t>Kế hoạch đầu tư công trung hạn giai đoạn 2021-2025</t>
  </si>
  <si>
    <t>Bố trí thực hiện các dự án có tính kết nối liên vùng, ven biển</t>
  </si>
  <si>
    <t>Bố trí thực hiện các dự án theo ngành, lĩnh vực</t>
  </si>
  <si>
    <t>ĐVT Triệu đồng</t>
  </si>
  <si>
    <t>SDĐ</t>
  </si>
  <si>
    <t>Đầu mối giao kế hoạch</t>
  </si>
  <si>
    <t>Nhóm dự án</t>
  </si>
  <si>
    <t>Năng lực thiết kế</t>
  </si>
  <si>
    <t>Dự kiến năm KC-HT</t>
  </si>
  <si>
    <t>Quyết định Chủ trương đầu tư/Quết định đầu tư</t>
  </si>
  <si>
    <t>Tổng mức đầu tư</t>
  </si>
  <si>
    <t>Lũy kế vốn đã bố trí đến năm 2020</t>
  </si>
  <si>
    <t>Trung hạn sau điều chỉnh</t>
  </si>
  <si>
    <t>Bội chi</t>
  </si>
  <si>
    <t>Tổng số</t>
  </si>
  <si>
    <t xml:space="preserve">Trong đó: Ngân sách tỉnh </t>
  </si>
  <si>
    <t>Tổng số đã giao</t>
  </si>
  <si>
    <t>Nhu cầu chuyển tiếp</t>
  </si>
  <si>
    <t>Thiếu so với 95% TMĐT ngân sách tỉnh</t>
  </si>
  <si>
    <t>Tăng</t>
  </si>
  <si>
    <t>Tổng thiếu</t>
  </si>
  <si>
    <t>XDCB</t>
  </si>
  <si>
    <t>Đất</t>
  </si>
  <si>
    <t>Nhu cầu năm 2022</t>
  </si>
  <si>
    <t>TỔNG SỐ</t>
  </si>
  <si>
    <t>BQLDA ĐTXD CT Giao thông tỉnh</t>
  </si>
  <si>
    <t>C</t>
  </si>
  <si>
    <t>BQL KKT Dung Quất và các KCN Quảng Ngãi</t>
  </si>
  <si>
    <t>BQLDA ĐTXD các công trình Dân dụng và công nghiệp tỉnh</t>
  </si>
  <si>
    <t>2024-2026</t>
  </si>
  <si>
    <t>Công an tỉnh</t>
  </si>
  <si>
    <t>2025-2026</t>
  </si>
  <si>
    <t>UBND thành phố Quảng Ngãi</t>
  </si>
  <si>
    <t>UBND huyện Mộ Đức</t>
  </si>
  <si>
    <t>UBND thị xã Đức Phổ</t>
  </si>
  <si>
    <t>2025-2028</t>
  </si>
  <si>
    <t>10/NQ-HĐND 22/6/2023</t>
  </si>
  <si>
    <t>Sở Thông tin và Truyền thông</t>
  </si>
  <si>
    <t>UBND huyện Bình Sơn</t>
  </si>
  <si>
    <t>UBND huyện Nghĩa Hành</t>
  </si>
  <si>
    <t>UBND huyện Minh Long</t>
  </si>
  <si>
    <t>UBND huyện Sơn Hà</t>
  </si>
  <si>
    <t>UBND huyện Trà Bồng</t>
  </si>
  <si>
    <t>TÊN DỰ ÁN</t>
  </si>
  <si>
    <t>Địa điểm 
xây dựng</t>
  </si>
  <si>
    <t>Năng lực 
thiết kế</t>
  </si>
  <si>
    <t>Thời 
gian
thực 
hiện</t>
  </si>
  <si>
    <t>Chủ trương đầu tư/Quyết định đầu tư</t>
  </si>
  <si>
    <t>Luỹ kế vốn đã bố trí đến hết kế hoạch năm 2025</t>
  </si>
  <si>
    <t>Nhu cầu vốn giai đoạn 2026 - 2030</t>
  </si>
  <si>
    <t>Số 
Quyết định</t>
  </si>
  <si>
    <t>Trong đó</t>
  </si>
  <si>
    <t>NS tỉnh</t>
  </si>
  <si>
    <t>DỰ KIẾN DANH MỤC DỰ ÁN KHỞI CÔNG MỚI GIAI ĐOẠN 2026-2030</t>
  </si>
  <si>
    <t>ĐVT: Triệu đồng</t>
  </si>
  <si>
    <t>Dự phòng chung</t>
  </si>
  <si>
    <t>Bệnh viện Đa khoa tỉnh (hạng mục: Nhà nghỉ cho người nhà bệnh nhân, Nhà để xe và các hạng mục phụ trợ)</t>
  </si>
  <si>
    <t>Bệnh viện Sản - Nhi tỉnh (hạng mục: mở rộng bệnh viện Sản - Nhi; nâng cấp, cải tạo một số khoa, phòng, Sửa Cải tạo hệ thống PCCC và các hạng mục phụ trợ)</t>
  </si>
  <si>
    <t>Bệnh viện Tâm thần (hạng mục: Xây dựng khoa điều trị bệnh nhân cấp tính và nghiện chất; cải tạo, nâng cấp các khoa, phòng, Cải tạo hệ thống PCCC)</t>
  </si>
  <si>
    <t>Bệnh viện nội tiết (Hạng mục: xây dựng khu kỹ thuật cận lâm sàng; cải tạo, nâng cấp các khoa, phòng)</t>
  </si>
  <si>
    <t>Bệnh viện Lao và Bệnh viện phổi (hạng mục: Cải tạo, nâng cấp Khu hành chính, Khoa lao ngoài phổi và Bệnh phỗi nhiễm trùng, các hạng mục phụ trợ; Cải tạo hệ thống PCCC)</t>
  </si>
  <si>
    <t>Ban Quản lý dự án ĐTXD các công trình DD&amp;CN tỉnh</t>
  </si>
  <si>
    <t>TP Quảng Ngãi</t>
  </si>
  <si>
    <t>Xây dựng mới khu nhà nghỉ cho người nhà bệnh nhân, nhà để xe, các hạng mục phụ trợ</t>
  </si>
  <si>
    <t>2026-2029</t>
  </si>
  <si>
    <t>2026-2028</t>
  </si>
  <si>
    <t>Xây dựng mới</t>
  </si>
  <si>
    <t>Xây dựng mới các hạng mục</t>
  </si>
  <si>
    <t xml:space="preserve"> Nâng cấp, cải tạo </t>
  </si>
  <si>
    <t>Trung tâm Y tế huyện Bình Sơn (hạng mục: Xây dựng mới khối khám và điều trị, khối cận lâm sàn, khối hành chính; cải tạo, mở rộng các khoa, phòng và các hạng mục phụ trợ; Nâng cấp, mở rộng hệ thống xử lý nước thải; Cải tạo hệ thống PCCC</t>
  </si>
  <si>
    <t>Huyện Bình Sơn</t>
  </si>
  <si>
    <t>Trung tâm Y tế huyện Trà Bồng (hạng mục: Xây dựng mới, cải tạo, mở rộng các khoa, phòng, các hạng mục phụ trợ; Nâng cấp, mở rộng hệ thống xử lý nước thải; Cải tạo hệ thống PCCC</t>
  </si>
  <si>
    <t>Huyện Trà Bồng</t>
  </si>
  <si>
    <t>Trung tâm Y tế huyện Sơn Tây (hạng mục: Xây dựng mới khối điều trị, khối hành chính; cải tạo, mở rộng các khoa, phòng và các hạng mục phụ trợ; Cải tạo hệ thống PCCC)</t>
  </si>
  <si>
    <t>Huyện Sơn Tây</t>
  </si>
  <si>
    <t>Trung tâm Y tế huyện Sơn Hà (Hạng mục: xây dựng khu hành chính, khoa cận lâm sàn, cải tạo, mở rộng các khoa, phòng và các hạng mục phụ trợ; Cải tạo hệ thống PCCC)</t>
  </si>
  <si>
    <t>Huyện Sơn Hà</t>
  </si>
  <si>
    <t>Trung tâm Y tế huyện Ba Tơ (Hạng mục: xây dựng khối nhà nội trú; cải tạo, mở rộng các khoa, phòng và các hạng mục phụ trợ; Nâng cấp, mở rộng hệ thống xử lý nước thải; Cải tạo toàn bộ hệ thống PCCC</t>
  </si>
  <si>
    <t>Huyện Ba tơ</t>
  </si>
  <si>
    <t>Trung tâm Y tế huyện Mộ Đức (Hạng mục: Xây mới khoa Bệnh nhiệt đới, khoa kiểm soát nhiễn khuẩn, nhà đại thể; Cải tạo khối nhà điều trị 3 tầng, khu hành chính, hành lang cầu nối, khối nhà xét nghiệm các hạng mục phụ trợ; Cải tạo toàn bộ hệ thống PCCC)</t>
  </si>
  <si>
    <t>Huyện Mộ Đức</t>
  </si>
  <si>
    <t>Trung tâm Y tế thành phố (Hạng mục: Xây dựng khoa Y học cổ truyền, phục hồi chức năng, khoa Dược và các hạng mục phụ trợ)</t>
  </si>
  <si>
    <t>TP.Quảng Ngãi</t>
  </si>
  <si>
    <t>Trung tâm Y tế huyện Tư Nghĩa ( Hạng mục: Xây dựng Khoa Y tế dự phòng, khối các phòng chức năng; cải tạo nâng cấp, mở rộng các khoa phòng, các hạng mục phụ trợ)</t>
  </si>
  <si>
    <t>Huyện Tư Nghĩa</t>
  </si>
  <si>
    <t>Trung tâm Y tế huyện Nghĩa Hành (Hạng mục: nâng cấp, cải tạo, mở rộng các khoa, phòng và các hạng mục phụ trợ; ải tạo toàn bộ hệ thống PCCC)</t>
  </si>
  <si>
    <t>Huyện Nghĩa Hành</t>
  </si>
  <si>
    <t>2028-2030</t>
  </si>
  <si>
    <t xml:space="preserve">Trung tâm Y tế huyện Minh Long (Hạng mục: nâng cấp, cải tạo, mở rộng các khoa, phòng và các hạng mục phụ trợ; Nâng cấp  hệ thống xử lý nước thải; Cải tạo toàn bộ hệ thống PCCC) </t>
  </si>
  <si>
    <t>Huyện Minh Long</t>
  </si>
  <si>
    <t>Trung tâm mắt (Hạng mục: Xây dựng mới khối khám và điều trị;  nâng cấp, cải tạo, các khoa, phòng, và các hạng mục phụ trợ; Xây mới hệ thống xử lý nước thải; Cải tạo toàn bộ hệ thống PCCC)</t>
  </si>
  <si>
    <t>Tp. Quảng Ngãi</t>
  </si>
  <si>
    <t>Bệnh viện phía Bắc thành phố Quảng Ngãi (cơ sở 2 bệnh viện đa khoa tỉnh)</t>
  </si>
  <si>
    <t>2028-2032</t>
  </si>
  <si>
    <t>Trường THPT Võ Nguyên Giáp - Xây dựng khối thư viện, Khối nhà lớp học và các hạng mục phụ trợ</t>
  </si>
  <si>
    <t>Xây dựng mới, nâng cấp, cải tạo</t>
  </si>
  <si>
    <t>Trường THPT Trần Quang Diệu -  Hạng mục nhà lớp học 12 phòng, nhà Bộ môn+thư viện; bể bơi, sân bóng đá và các hạng mục phụ trợ</t>
  </si>
  <si>
    <t>Trường THPT Huỳnh Thúc Kháng - Nhà tập đa năng và các hạng mục phụ trợ</t>
  </si>
  <si>
    <t>Trường THPT số 2 Tư Nghĩa - Xây dựng Hội trường, khu thể chất và các hạng mục phụ trợ</t>
  </si>
  <si>
    <t>Trường THPT số 1 Nghĩa Hành -Hạng mục nhà hiệu bộ, bể bơi và các hạng mục phụ trợ</t>
  </si>
  <si>
    <t>H. Nghĩa Hành</t>
  </si>
  <si>
    <t>Trường THPT số 2 Mộ Đức - Xây dựng Hội trường, nhà lớp học 8 phòng, khu giáo thể chất và các hạng mục phụ trợ</t>
  </si>
  <si>
    <t>H. Mộ Đức</t>
  </si>
  <si>
    <t>Trường THPT Sơn Hà- Xây dựng dãy phòng học, phòng học bộ môn; nhà hiệu bộ, khối phục vụ hoạt động chung và các hạng mục phụ trợ</t>
  </si>
  <si>
    <t>H. Sơn Hà</t>
  </si>
  <si>
    <t>Trường THPT Trà Bồng</t>
  </si>
  <si>
    <t>H. Trà Bồng</t>
  </si>
  <si>
    <t>Trường THPT Ba Gia - Khối hoạt động chung, khối 6 phòng học 2 tầng và các hạng mục phụ trợ</t>
  </si>
  <si>
    <t>H. Sơn Tịnh</t>
  </si>
  <si>
    <t xml:space="preserve">Trường THPT Trần Quốc Tuấn - Khối phòng học 4 tầng (24 phòng) và các hạng mục phụ trợ </t>
  </si>
  <si>
    <t>Trường THPT Đức Phổ 1 - Hạng mục Hội trường và các hạng mục phụ trợ</t>
  </si>
  <si>
    <t>Trường THPT Đức Phổ 2 - Hạng mục nhà lớp học 10 phòng và các hạng mục phụ trợ</t>
  </si>
  <si>
    <t>Trường THPT số 1 Tư Nghĩa- Hạng mục Nhà lớp học 20 phòng, nhà Bộ môn, Hội trường và các hạng mục phụ trợ</t>
  </si>
  <si>
    <t>Trường THPT Phạm Văn Đồng -Hạng mục Khu giáo dục thể chất và các hạng mục phụ trợ</t>
  </si>
  <si>
    <t>Trường THPT Nguyễn Công Trứ- Xây dựng nhà hiệu bô, hội trường, nhà lớp học và các hạng mục phụ trợ</t>
  </si>
  <si>
    <t>Trung tâm GDTX tỉnh- hạng mục Xây dựng khối phòng học, phòng học bộ môn, thư viện; khối hiệu bộ và các hạng mục phụ trợ</t>
  </si>
  <si>
    <t>Trung tâm hỗ trợ PTGDHN tỉnh - dãy phòng can thiệp và hỗ trợ GDHN</t>
  </si>
  <si>
    <t>Trường THPT Sơn Mỹ - XD bể bơi và các hạng mục phụ trợ</t>
  </si>
  <si>
    <t>Trường THPT Quang Trung- Xây dựng khối phòng học bộ môn, thư viện, khối hiệu bộ, nhà công vụ giáo viên, khu giáo dục thể chất và các hạng mục phụ trợ</t>
  </si>
  <si>
    <t>Trường THPT Tây Trà - hạng mục Khu giáo dục thể và các hạng mục phụ trợ</t>
  </si>
  <si>
    <t>Trường THPT số 2 Nghĩa Hành -  Xây dựng khối hiệu bộ, khối phòng học,  khối phòng học bộ môn và các hạng mục phụ trợ</t>
  </si>
  <si>
    <t>Trường THPT Thu Xà - xây dựng Hội trường, Khu giáo dục thể chất và các hạng mục phụ trợ</t>
  </si>
  <si>
    <t>Trường THPT Lương Thế Vinh - Hạng mục Khu thể chất và các hạng mục phụ trợ</t>
  </si>
  <si>
    <t>Thị xã Đức Phổ</t>
  </si>
  <si>
    <t>Trường THPT Đinh Tiên Hoàng - nhà bộ môn, nhà ở giáo viên và các hạng mục phụ trợ</t>
  </si>
  <si>
    <t>H. Sơn Tây</t>
  </si>
  <si>
    <t xml:space="preserve">Trường THPT Vạn Tường </t>
  </si>
  <si>
    <t xml:space="preserve"> Bảo tàng và Thư viện tổng hợp tỉnh</t>
  </si>
  <si>
    <t>Cơ sở hạ tầng Khu du lịch Mỹ Khê</t>
  </si>
  <si>
    <t>Xã Tịnh Khê, Tịnh Kỳ, TP.Quảng Ngãi</t>
  </si>
  <si>
    <t>Đường du lịch vào Khu di tích Quốc gia đặc biệt Sa Huỳnh (phía Bắc Đầm An Khê)</t>
  </si>
  <si>
    <t>2027-2030</t>
  </si>
  <si>
    <t>Xây dựng Khu hành chính; khu nhà ở và khu tập luyện vận động viên</t>
  </si>
  <si>
    <t>Trường Đại học Phạm Văn Đồng - hạng mục Giải phóng mặt bằng, xây dựng tường rào (khu A+B)</t>
  </si>
  <si>
    <t>Thực hiện GPMB, xây dựng tường rào</t>
  </si>
  <si>
    <t>Xây dựng trụ sở làm việc HĐND tỉnh và đoàn Đại biểu quốc hội</t>
  </si>
  <si>
    <t>Xây dựng trụ sở làm việc Sở thông tin truyền thông</t>
  </si>
  <si>
    <t>Xây dựng trụ sở làm việc Sở Y tế</t>
  </si>
  <si>
    <t>Xây dựng Trụ sở làm việc Tỉnh đoàn và Trung tâm Thiếu nhi tỉnh</t>
  </si>
  <si>
    <t>Rà soát giảm đầu tư tuyến đường trục chính (nối từ Quốc lộ 1A đến đường ven biển Dung Quất Sa Huỳnh), với giá trị 1.250 tỷ (bao gồm chi phí XD, BTGPMB và các chi phí khác)</t>
  </si>
  <si>
    <t>Dự án phát triển hạ tầng thích ứng thành phố Quảng Ngãi</t>
  </si>
  <si>
    <t>Các ngành lĩnh vực khác</t>
  </si>
  <si>
    <t>So với giai đoạn 2021-2025</t>
  </si>
  <si>
    <t>Phân bổ cho chương trình, nhiệm vụ, dự án</t>
  </si>
  <si>
    <t>Vốn đối ứng của tỉnh thực hiện các Chương trình mục tiêu quốc gia</t>
  </si>
  <si>
    <t>Đường ven biển Dung Quất - Sa Huỳnh, giai đoạn IIa, thành phần 2 (Km82+000-Km94+000)</t>
  </si>
  <si>
    <t>BQLdự án ĐTXD các CTGT tỉnh</t>
  </si>
  <si>
    <t>Đường cấp III đồng bằng, với Bnền =12m và Bmặt =11m, trong có cầu BTCT DƯL rộng 12m, với chiều dài tuyến còn lại là khoảng 12km ( Km82+000 - Km94+000); trong đó có cầu Du Quang  với chiều dài L=411m với sơ đồ nhịp 38,3m+(55+90+55)m +39.15m+2x40m+39,15m</t>
  </si>
  <si>
    <t>2020-2025</t>
  </si>
  <si>
    <t xml:space="preserve">Các Nghị quyết số 08/NQ-HĐND ngày 10/4/2019; số 48/NQ-HĐND ngày 30/9/2022; số 58/NQ-HĐND ngày 16/10/2023; </t>
  </si>
  <si>
    <t>Đảm bảo giao thông kết nối từ đường ven biển tỉnh Quảng Nam đến đường ven biển tỉnh Bình Định  phục vụ phát triển kinh tế - xã hội, thúc đẩy phát triển du lịch, củng cố an ninh quốc phòng</t>
  </si>
  <si>
    <t>Đường ven biển Dung Quất - Sa Huỳnh, giai đoạn II, phân đoạn Km94+000 đến giáp ranh tỉnh Bình Định)</t>
  </si>
  <si>
    <t>Đường cấp III đồng bằng, với Bnền =12m và Bmặt =11m, trong có cầu BTCT DƯL rộng 12m, với chiều dài tuyến còn lại là khoảng 18km (Km94+000 đến giáp ranh tỉnh Bình Định)</t>
  </si>
  <si>
    <t>2026-2030</t>
  </si>
  <si>
    <t>Hoàn thiện toàn bộ tuyến đường ven biển Dung Quất - Sa Huỳnh qua địa bàn tỉnh Quảng Ngãi; đảm bảo giao thông kết nối từ đường ven biển tỉnh Quảng Nam đến đường ven biển tỉnh Bình Định  phục vụ phát triển kinh tế - xã hội, thúc đẩy phát triển du lịch, củng cố an ninh quốc phòng</t>
  </si>
  <si>
    <t>Lĩnh vực giao thông</t>
  </si>
  <si>
    <t>Cầu Trà Khúc 1</t>
  </si>
  <si>
    <t>Thành phố Quảng Ngãi</t>
  </si>
  <si>
    <t>Chiều dài tuyến chính 830m, bề rộng cầu khoảng 28m; đầu tư 2 nút giao đầu cầu, hầm chui và các hạng mục phụ trợ khác</t>
  </si>
  <si>
    <t>Nghị quyết số 77/NQ-HĐND ngày 07/12/3023 của HĐND tỉnh</t>
  </si>
  <si>
    <t>Cầu và đường ĐT.623B (Quảng Ngãi - Thạch Nham), đoạn qua đập Thạch Nham</t>
  </si>
  <si>
    <t>Tư Nghĩa, Sơn Tịnh và Sơn Hà</t>
  </si>
  <si>
    <t>Cấp III, L=2,3Km, đường dẫn rộng 9m; cầu BTCT DƯL rộng 12m</t>
  </si>
  <si>
    <t>Đảm bảo giao thông được thông suốt trong mùa mưa, lũ; phục vụ cứu hộ, cứu nạn; kết nối các huyện Tư Nghĩa, Sơn Tịnh, Sơn Hà phục vụ phát triển kinh tế - xã hội của các địa phương</t>
  </si>
  <si>
    <t>Cầu Thạch Nham</t>
  </si>
  <si>
    <t>Tuyến đường ven biển Dung Quất - Sa Huỳnh đi trùng Quốc lộ 1 với chiều dài là 11,29km (Km1108+210- Km1119+500)</t>
  </si>
  <si>
    <t>Tuyến kéo dài đường nối từ cầu Cầu Trà Khúc 3 ra đến Quốc lộ 24C</t>
  </si>
  <si>
    <t>Sơn Tịnh và Bình Sơn</t>
  </si>
  <si>
    <t>Đường phố đô thị cấp II, chiều dài 13,0Km, với quy mô mặt cắt ngang: 7x2+2(DPC)+5x2=26m</t>
  </si>
  <si>
    <t>Điểm bắt đầu từ QL.24C tại xã Bình Chương Tuyến bắt đầu từ nút giao tuyến QL24C, xã Bình Chương, huyện Bình Sơn đi theo tuyến đường huyện ĐH.13 huyện Sơn Tịnh đến nút giao cầu Trà Khúc 3 và Quốc lộ 24B</t>
  </si>
  <si>
    <t>Đường nối từ Phía Nam cầu Đập Dâng  đến nút giao Quốc lộ 1 và đường dẫn cao tốc Đà Nẵng - Quảng Ngãi  (trục dọc D9)</t>
  </si>
  <si>
    <t>Tư Nghĩa và thành phố Quảng Ngãi</t>
  </si>
  <si>
    <t>Đường phố chính đô thị, chiều dài L=7,2Km, với quy mô mặt cắt ngang Bnền = 46m, Bmặt =24m, Bpc=10m và Bvỉa hè =2x6m</t>
  </si>
  <si>
    <t>Kết nối với đường Hoàng Sa - Dốc Sỏi ra sân bay Chu Lai, giảm lưu lượng giao thông cho Quốc lộ 1A, kết nối giao thông thông suốt từ các huyện phía Nam thành phố Quảng Ngãi ra các khu đô thị, khu công nghiệp phía Bắc Quảng Ngãi</t>
  </si>
  <si>
    <t>Đường nối từ Quốc lộ 1 (nút giao đường dẫn cao tốc Đà Nẵng - Quảng Ngãi) đến đường ven biển Dung Quất - Sa Huỳnh</t>
  </si>
  <si>
    <t>Đường phố chính đô thị, chiều dài L=7,7Km, với quy mô mặt cắt ngang Bnền = 42m, Bmặt =24m, Bpc=3m và Bvỉa hè =2x7,5m</t>
  </si>
  <si>
    <t>Đảm bảo giao thông kết nối thông suốt từ đường cao tốc phía Đông sang Quốc lộ 1 và kết nối xuống đường ven biển Dung Quất - Sa Huỳnh, qua các khu đô thị  mới của thành phố Quảng Ngãi và huyện Tư Nghĩa phục vụ phát triển kinh tế - xã hội</t>
  </si>
  <si>
    <t>Đường nối từ Quốc lộ 1 đến đường ven biển Dung Quất - Sa Huỳnh.</t>
  </si>
  <si>
    <t>Thành phố Quảng Ngãi và huyện Bình Sơn</t>
  </si>
  <si>
    <t>Điểm đầu tuyến giao với QL.1 tại Km 1051+600; Cuối tuyến kết nối với đường Dung Quất – Sa Huỳnh với chiều dài khoảng 14,75km. Quy mô đường đô thị với 4-6 làn xe. Giai đoạn I đầu tư theo quy mô đề xuất trong dự án Hạ tầng đô thị thành phố Quảng Ngãi là GPMB 60m, đầu tư 1/2 đường 40m.</t>
  </si>
  <si>
    <t xml:space="preserve">Là trục hành lang Đông - Tây, kết nối hoàn thiện hai trục đường Bắc Nam là: QL1A và đường ven biển Dung Quất – Sa Huỳnh, kết nối với cảng Sa Kỳ, Khu kinh tế Qung Quất...; mở rộng không gian đô thị về phía Bắc thành phố Quảng Ngãi và kết nối với các khu đô thị Tịnh Hòa, Tịnh Kỳ, Khu kinh tế Dung Quất. </t>
  </si>
  <si>
    <t>Hệ thống điện chiếu sáng Quốc lộ 1 (phần còn lại đến giáp ranh Bình Định)</t>
  </si>
  <si>
    <t>Chiều dài tuyến khoảng 24km (QL1 từ Km1101+320-Km1125); trụ thép mạ kẽm, cần đèn có độ vươn 1,5m, chiều cao treo đèn 11m; đèn Led công suất tối thiểu 120W; móng trụ điện bằng BTCT đổ tại chỗ.</t>
  </si>
  <si>
    <t>2026-2027</t>
  </si>
  <si>
    <t>Hoàn thiện hệ thống điện chiếu sáng các tuyến đường trên địa bàn tỉnh, góp phần bảo đảm ATGT, tăng cường an ninh trật tự, bảo vệ tính mạng, tài sản cho người tham gia giao thông trên tuyến QL1; tạo cảnh quan cho các khu vực qua khu dân cư, đô thị và góp phần thúc đẩy phát triển kinh tế, xã hội của địa phương.</t>
  </si>
  <si>
    <t>Đường nối từ ĐT.623B đến Km1+322 đường Nghĩa Thuận – Nghĩa Kỳ (ĐH.23C)</t>
  </si>
  <si>
    <t>Bồi thường, GPMB đủ để đầu tư mở rộng nền đường 26m đoạn 477m đầu tuyến; đầu tư nền đường 9m, mặt đường 7m và các công trình hạ tầng trên trến</t>
  </si>
  <si>
    <t>Tuyến đường nối từ ĐT.623B vào khu vực dự án Khu sinh thái, nghỉ dưỡng tắm bùn suối nước nóng Nghĩa Thuận (giai đoạn 2)</t>
  </si>
  <si>
    <t>Cầu Bến Đá và đường 02 đầu cầu, tuyến ĐT.624 (Quảng Ngãi-Ba Động)</t>
  </si>
  <si>
    <t>Huyện Nghĩa Hàn</t>
  </si>
  <si>
    <t>Chiều dài tuyến khoảng: L=350m, trong đó: Cầu Bến Đá (Km5+750) có chiều dài 54m, rộng 16m, kết cấu bằng BTCT và BTCT dự ứng lực; đường dẫn đầu cầu rộng 10,5m, kết cấu mặt đường bằng bê tông nhựa</t>
  </si>
  <si>
    <t>Để tháo gỡ nút thắc cổ chai trên đoạn tuyến nhằm đáp ứng nhu cầu đi lại thuận lợi của người dân, góp phần giảm ách tắc, giảm thiểu nguy cơ tai nạn giao thông</t>
  </si>
  <si>
    <t>Sở Giao thông gửi thông tin dự án đề xuất</t>
  </si>
  <si>
    <t>Đường Tịnh Phong - cảng Dung Quất II, giai đoạn I</t>
  </si>
  <si>
    <t>Bình Sơn và Sơn Tịnh</t>
  </si>
  <si>
    <t>Đường phố chính đô thị, cấp II; nền đường rộng 70m (GPMB), mặt đường giai đoạn I rộng 16m</t>
  </si>
  <si>
    <t>Hoàn thiện hạ tầng giao thông, kết nối khu kinh tế Dung Quất với Quốc lộ 1, hình thành các khu công nghiệp góp phần phát triển kinh tế - xã hội</t>
  </si>
  <si>
    <t>Lĩnh vực nông nghiệp, lâm nghiệp, diêm nghiệp, thủy lợi và thủy sản</t>
  </si>
  <si>
    <t>Dự án hiện đại hóa thủy lợi nhằm thích ứng với biến đổi khí hậu tỉnh Quảng Ngãi</t>
  </si>
  <si>
    <t>Bình Sơn, Sơn Tịnh, Tư Nghĩa, Nghĩa Hành, Mộ Đức, Thị xã Đức Phổ và Thành phố Quảng Ngãi</t>
  </si>
  <si>
    <t>Tưới 12.128 ha</t>
  </si>
  <si>
    <t>Quyết định số 305/QĐ-TTg ngày 04/3/2022; Quyết định số 1919/QĐ-UBND ngày 31/12/2022</t>
  </si>
  <si>
    <t>Nâng cấp và hoàn thiện cơ sở hạ tầng để hiện đại hoá thuỷ lợi thích ứng biến đổi khí hậu (ADB9)</t>
  </si>
  <si>
    <t>Xây dựng hệ thống trữ, cấp nước phục vụ sản xuất nông nghiệp, sinh hoạt huyện đảo Lý Sơn</t>
  </si>
  <si>
    <t>Lý Sơn</t>
  </si>
  <si>
    <t>Tưới tiết kiệm 32 ha tạo nguồn cấp nước sinh hoạt 1150 m3/ngày.đêm</t>
  </si>
  <si>
    <t xml:space="preserve"> Khôi phục các công trình thủy lợi huyện Ba Tơ (gồm công trình: Ka La, Mang Voang, đập Làng Xi, Đập Nước Lầy, Cụm Đập Tà Noát-Am Ré, Đập Mang Biều) </t>
  </si>
  <si>
    <t>Ba Tơ</t>
  </si>
  <si>
    <t>Tưới 435 ha</t>
  </si>
  <si>
    <t>Dư án Crem</t>
  </si>
  <si>
    <t>Khôi phục các công trình thủy lợi huyện Trà Bồng (gồm công trình: Xen Bay, Nước Nun, Hồ Hố Leo)</t>
  </si>
  <si>
    <t>Trà Bồng</t>
  </si>
  <si>
    <t>Tưới 166 ha</t>
  </si>
  <si>
    <t xml:space="preserve"> Khôi phục các công trình thủy lợi huyện Sơn Hà (gồm công trình: kênh Hồ chứa nước Di Lăng, đập Pring, đập Nước Lác, đập Tà Pa và đập Xô Lô)</t>
  </si>
  <si>
    <t>Sơn Hà</t>
  </si>
  <si>
    <t>Tưới 1.128 ha</t>
  </si>
  <si>
    <t>Dự án CREM</t>
  </si>
  <si>
    <t>Ngăn mặn, giữ ngọt, tưới 285 ha</t>
  </si>
  <si>
    <t>Nhiều hạng mục đã xuống cấp, xâm nhập mặn vào sâu, đảm bảo hiệu quả của dự án</t>
  </si>
  <si>
    <t>Sửa chữa, nâng cấp đập ngăn mặn Hiền Lương</t>
  </si>
  <si>
    <t>TP Quảng Ngãi, Huyện Tư Nghĩa</t>
  </si>
  <si>
    <t>Ngăn mặn 968 ha, giữ ngọt tưới 466 ha</t>
  </si>
  <si>
    <t>Đảm bảo mục tiêu ngăn mặn, giữ ngọt, thoát lũ chống ngập, đảm bảo an sinh, nâng cao hiệu quả quản lý, khai thác công trình</t>
  </si>
  <si>
    <t>Sửa chữa, nâng cấp các kênh kênh cấp 1, cấp 2 thuộc hệ thống thủy lợi Thạch Nham và kênh liên xã, liên huyện khác</t>
  </si>
  <si>
    <t>Cac huyện, thị xã, Thành phố</t>
  </si>
  <si>
    <t>Tưới  34.400 ha</t>
  </si>
  <si>
    <t>Sửa chữa, nâng cấp kênh chính Nam Thạch Nham</t>
  </si>
  <si>
    <t>Tư Nghĩa, Nghĩa Hành, Mộ Đức và thị xã Đức Phổ</t>
  </si>
  <si>
    <t>Tưới 17.530 ha</t>
  </si>
  <si>
    <t>Bảo đảm cấp nước tưới chủ động, nâng cao hiệu quả khai thác
công trình thủy lợi Thạch Nham</t>
  </si>
  <si>
    <t>Sửa chữa, nâng cấp 22 hồ chứa nước bảo đảm an toàn đập, an ninh nguồn nước (Hòa Hải, Phượng Hoàng, Hàm Rồng, Long Đình, Suối Khoai, Hóc Mốc, Bình Nam, Chuối, Bà Mau, Hóc Mít, Phước Tích, Trung Tín , Đội 14, Tôn Dung, Ông Tới, Đồng Cần, Hố Tre, Hóc Tùng, Bà Bông, Hố Môn, Hóc Lùng, Sau Ao)</t>
  </si>
  <si>
    <t>Bình Sơn, Sơn Tịnh, Minh Long, Mộ Đức và Ba Tơ</t>
  </si>
  <si>
    <t>Bảo đảm tưới, an àn hồ</t>
  </si>
  <si>
    <t>Xây mới hồ chứa nướcTrà Bói, huyện Trà Bồng</t>
  </si>
  <si>
    <t xml:space="preserve"> huyện Trà Bồng</t>
  </si>
  <si>
    <t>Tưới 1.350 ha</t>
  </si>
  <si>
    <t>Xây mới hồ chứa nước Vạn Xuân, huyện Nghĩa Hành</t>
  </si>
  <si>
    <t>Hành Thiện, Nghĩa hành</t>
  </si>
  <si>
    <t>Tưới 40 ha</t>
  </si>
  <si>
    <t>Sửa chữa, nâng cấp đập dâng Suối Lớn, huyện Minh Long</t>
  </si>
  <si>
    <t>xã Long Hiệp, Minh long</t>
  </si>
  <si>
    <t>Tưới 74 ha</t>
  </si>
  <si>
    <t>Xây dựng hồ chứa nước Gọi Chạch, huyện Ba Tơ</t>
  </si>
  <si>
    <t>Ba Xa, Ba Tơ</t>
  </si>
  <si>
    <t>Tưới 400 ha</t>
  </si>
  <si>
    <t>Nâng cấp đập dâng Ruộng Thủ</t>
  </si>
  <si>
    <t>Long Sơn</t>
  </si>
  <si>
    <t>Tưới 450 ha</t>
  </si>
  <si>
    <t>Đảm bảo phục vụ sản xuất nông nghiệp</t>
  </si>
  <si>
    <t>Sửa chữa, nâng cấp tràn xả lũ Hồ chứa nước Di Lăng</t>
  </si>
  <si>
    <t>Di Lăng</t>
  </si>
  <si>
    <t>Diện tích tưới khoảng 539 ha</t>
  </si>
  <si>
    <t>Xây dựng Kênh thoát lũ phía Tây (xã Tịnh Thọ - Quyết Thắng) và Cải tạo, mở rộng, chỉnh tuyến đoạn Cầu Kênh Khu Công nghiệp VSIP và vùng dân cư lân cận</t>
  </si>
  <si>
    <t>Xã Tịnh Thọ, huyện Sơn Tịnh</t>
  </si>
  <si>
    <t>Xây dựng Kênh thoát lũ khoảng  1.500m và mở rộng chỉnh tuyến đoạn Cầu Kênh - KCN</t>
  </si>
  <si>
    <t xml:space="preserve">Nhằm tiêu thoát nước, giảm thiểu tình trạng ngập úng cho khu vực phía Tây (xã Tịnh Thọ - Quyết Thắng) - KCN VSIP và các vùng lân cận </t>
  </si>
  <si>
    <t>BQL đề xuất</t>
  </si>
  <si>
    <t>Xây dựng tuyến 02 tuyến đê chắn bùn cát và nạo vét thông luồng ổn định khu vực Cửa Lở</t>
  </si>
  <si>
    <t>Thành phố Quảng Ngãi, huyện Tư Nghĩa, huyện Mộ Đức</t>
  </si>
  <si>
    <t>Xây dựng 02 tuyến đê bờ Bắc và bờ Nam với chiều dài 1.350m, xây dựng kè bảo vệ bờ, các mỏ hàn chữ T và nạo vét thông luồng khu vực Cửa Lở</t>
  </si>
  <si>
    <t>Bảo vệ ổn định khu vực Cửa Lở, góp phần che chắn làm giảm sóng, hạn chế bồi lấp, giảm thiểu rủi ro thiên tai.</t>
  </si>
  <si>
    <t>Khu neo đậu tránh trú bão cho tàu cá kết hợp cảng cá Cổ Lũy, thành phố Quảng Ngãi (giai đoạn 2)</t>
  </si>
  <si>
    <t>350m đê ngăn cát giảm sóng (đê Bắc: 231m, đê Nam: 119m), hạ tầng khu neo đậu và khu vực cảng cá theo quy hoạch đã phê duyệt</t>
  </si>
  <si>
    <t>Hoàn thiện khu neo đậu tránh trú bão cho tàu cá kết hợp cảng cá Cổ Lũy</t>
  </si>
  <si>
    <t xml:space="preserve">Đê, kè chắn cát, giảm sóng, công trình hạ tầng kỹ thuật, dịch vụ hậu cần và nạo vét Khu neo đậu tránh trú bão cảng cá Sa Huỳnh (giai đoạn 2)  </t>
  </si>
  <si>
    <t>Bảo vệ dân cư, khu vực cửa biển Sa Huỳnh và Khu neo đậu tránh trú bão đảm bảo ổn định, mở rộng phát triển kinh tế.</t>
  </si>
  <si>
    <t>Đầu tư xây dựng chỉnh trị toàn diện Khu neo đậu tránh trú bão và khu vực cửa biển Sa Huỳnh; hạn chế giảm thiểu rủi ro thiên tai, tạo sự ổn định cho ngư dân hành nghề, góp phần phát triển kinh tế, xã hội</t>
  </si>
  <si>
    <t>Kè chống sạt lở bờ Bắc sông Trà Khúc đoạn qua thôn An Thọ</t>
  </si>
  <si>
    <t>Tịnh Sơn, huyện Sơn Tịnh</t>
  </si>
  <si>
    <t>Bảo vệ 21 hộ dân, hạ tầng</t>
  </si>
  <si>
    <t>Do mưa, lũ năm qua và các đợt mưa lũ năm 2023, bờ sông Trà Khúc  đoạn qua thôn An Thọ, xã Tịnh Sơn, huyện Sơn Tịnh bị sạt lở, ảnh hưởng trực tiếp đến 21 hộ dân và các công trình CSHT trong khu vực</t>
  </si>
  <si>
    <t>Kè chống sạt lở bờ Nam sông Trà Khúc, đoạn qua huyện Tư Nghĩa</t>
  </si>
  <si>
    <t>Nghĩa Lâm, Nghĩa Thắng, Nghĩa Thuận, Nghĩa Kỳ</t>
  </si>
  <si>
    <t>Bảo vệ dân cư, hạ tầng</t>
  </si>
  <si>
    <t>Đảm bảo an toàn  tính mạng, nhà cửa, vật kiến trúc, ổn định trong mùa mưa, lũ và tránh thiệt hại về người, tài sản của nhân dân</t>
  </si>
  <si>
    <t>Kè chống sạt lở bờ Bắc sông Trà Khúc đoạn qua xóm Lân xã Tịnh Long</t>
  </si>
  <si>
    <t>Tịnh Long, TP Quảng Ngãi</t>
  </si>
  <si>
    <t>2026-2031</t>
  </si>
  <si>
    <t>Khắc phục sạt lở bờ Nam Sông Vệ, đoạn qua xã Đức Nhuận, huyện Mộ Đức</t>
  </si>
  <si>
    <t>Xã Đức Nhuận, huyện Mộ Đức</t>
  </si>
  <si>
    <t>Bảo vệ 112 hộ dân, hạ tầng</t>
  </si>
  <si>
    <t>2027-2029</t>
  </si>
  <si>
    <t>Do mưa, lũ năm qua và các đợt mưa lũ năm 2023, bờ Nam Sông Vệ, đoạn qua xã Đức Nhuận, huyện Mộ Đức bị sạt lở, ảnh hưởng trực tiếp đến khoảng 112 hộ dân, mố bờ Nam cầu Sông Vệ và các công trình CSHT lân cận</t>
  </si>
  <si>
    <t>Khắc phục sạt lở bờ sông Vệ, đoạn qua xã Hành Phước và xã Hành Thiện, huyện Nghĩa Hành</t>
  </si>
  <si>
    <t>Các xã: Hành Phước, Hành Thiện, huyện Nghĩa Hành</t>
  </si>
  <si>
    <t>Bảo vệ 120 hộ dân, hạ tầng</t>
  </si>
  <si>
    <t>Do mưa, lũ năm qua và các đợt mưa lũ năm 2023, bờ sông Vệ, đoạn qua xã Hành Phước và xã Hành Thiện, huyện Nghĩa Hành bị sạt lở, ảnh hưởng trực tiếp đến 120 hộ dânvà các công trình CSHT lân cận</t>
  </si>
  <si>
    <t>Khắc phục sạt lở bờ sông Trà Bồng, đoạn qua thôn Mỹ Huệ 3, xã Bình Dương và thôn Tân Phước Đông, xã Bình Minh, huyện Bình Sơn</t>
  </si>
  <si>
    <t>Bình Sơn</t>
  </si>
  <si>
    <t>Xây dựng tuyến đê Bình Minh – Bình Trung</t>
  </si>
  <si>
    <t>Nạo vét, chỉnh trị hệ thống sông Phước Giang</t>
  </si>
  <si>
    <t>Tư Nghĩa, Nghĩa Hành</t>
  </si>
  <si>
    <t>Khắc phục sạt lở bờ sông Hưng Nhơn, xã Nghĩa Hà, thành phố Quảng Ngãi</t>
  </si>
  <si>
    <t>Nghĩa Hà, TP Quảng Ngãi</t>
  </si>
  <si>
    <t>Khắc phục sạt lở bờ sông Phước Giang, đoạn qua xã Hành Minh và thị trấn Chợ Chùa, huyện Nghĩa Hành</t>
  </si>
  <si>
    <t>Xã Hành Minh và thị trấn Chợ Chùa, huyện Nghĩa Hành</t>
  </si>
  <si>
    <t>Bảo vệ 20 hộ dân, hạ tầng</t>
  </si>
  <si>
    <t>2027-2028</t>
  </si>
  <si>
    <t>Do mưa, lũ năm qua và các đợt mưa lũ năm 2023, bờ sông Phước Giang, đoạn qua xã Hành Minh, huyện Nghĩa Hành bị sạt lở, ảnh hưởng trực tiếp đến 20 hộ dân, ảnh hưởng gián tiếp đến 80 hộ dân đang sinh sống trong khu vực và các công trình CSHT lân cận</t>
  </si>
  <si>
    <t>Khắc phục sạt lở bờ sông Trà Câu, đoạn qua phường Phổ Ninh và phường Phổ Văn, thị xã Đức Phổ</t>
  </si>
  <si>
    <t>Phường Phổ Ninh và phường Phổ Văn, thị xã Đức Phổ</t>
  </si>
  <si>
    <t>Bảo vệ  60 hộ dân, hạ tầng</t>
  </si>
  <si>
    <t>Do mưa, lũ năm qua và các đợt mưa lũ năm 2023, bờ sông Trà Câu, đoạn qua phường Phổ Ninh và phường Phổ Văn, thị xã Đức Phổ bị sạt lở, ảnh hưởng trực tiếp đến khoảng 60 hộ dân, 2 mố cầu Trà Câu và các công trình CSHT lân cận</t>
  </si>
  <si>
    <t>Khắc phục sạt lở bờ sông Thoa xóm Phước Xuân, thôn phước Thịnh, xã Đức Thạnh, huyện Mộ Đức</t>
  </si>
  <si>
    <t xml:space="preserve"> Xã Đức Thạnh, huyện Mộ Đức</t>
  </si>
  <si>
    <t>Bảo vệ  20 hộ dân, hạ tầng</t>
  </si>
  <si>
    <t>Do mưa, lũ năm qua và các đợt mưa lũ năm 2023, bờ sông bờ sông Thoa xóm Phước Xuân, thôn phước Thịnh, xã Đức Thạnh, huyện Mộ Đức bị sạt lở, ảnh hưởng trực tiếp đến khoảng 20 hộ dân và các công trình CSHT lân cận</t>
  </si>
  <si>
    <t>Khắc phục sạt lở bờ biển thôn Kỳ Xuyên (đoạn từ Lăng cá Ông đến Kè chống sạt lở bờ biển thôn Kỳ Xuyên giai đoạn 1), xã Tịnh Kỳ, thành phố Quảng Ngãi</t>
  </si>
  <si>
    <t>Xã Tịnh Kỳ, thành phố Quảng Ngãi</t>
  </si>
  <si>
    <t>Bảo vệ  90 hộ dân, hạ tầng</t>
  </si>
  <si>
    <t>Do mưa, lũ năm qua và các đợt mưa lũ năm 2023, bờ biển thôn Kỳ Xuyên, xã Tịnh Kỳ, thành phố Quảng Ngãi bị sạt lở, ảnh hưởng trực tiếp đến khoảng 90 hộ dân và các công trình CSHT lân cận</t>
  </si>
  <si>
    <t>Đê, kè Phổ Minh giai đoạn 2</t>
  </si>
  <si>
    <t>Phổ Minh, Phổ Quang, thị xã Đức Phổ</t>
  </si>
  <si>
    <t>Ngăn mặn</t>
  </si>
  <si>
    <t>Kè chống sạt lở bơ biển thôn Tuyết Diêm 1, xã Bình Thuận, huyện Bình Sơn</t>
  </si>
  <si>
    <t>Bình Thuận, Bình Sơn</t>
  </si>
  <si>
    <t>Kè chống sạt lở thôn Châu Thuận Tây xã Bình Châu</t>
  </si>
  <si>
    <t>Bình Châu, huyện Bình Sơn</t>
  </si>
  <si>
    <t>Kè chống sạt lở thôn Châu Thuận Biển xã Bình Châu</t>
  </si>
  <si>
    <t>Nạo vét khơi thông dòng chảy thoát lũ sông Trà Câu</t>
  </si>
  <si>
    <t>Đức Phổ</t>
  </si>
  <si>
    <t>Kè chống sạt lở bờ biển thôn Phổ An, Phổ Trung, xã Nghĩa An</t>
  </si>
  <si>
    <t>Nghĩa An, TP. Quảng Ngãi</t>
  </si>
  <si>
    <t>Khu tiêu Long Xuân, Long Mỹ, Long Yên</t>
  </si>
  <si>
    <t>Tiêu úng 747 ha, chống ngập 10 ha</t>
  </si>
  <si>
    <t>Khu tiêu Sơn Tịnh</t>
  </si>
  <si>
    <t>Sơn Tịnh</t>
  </si>
  <si>
    <t>Tiêu úng 1574 ha, chống ngập 40 ha</t>
  </si>
  <si>
    <t>Khu tiêu Tứ Đức, Mộ Đức</t>
  </si>
  <si>
    <t>Mộ Đức</t>
  </si>
  <si>
    <t>Tiêu úng 3.000 ha, chống ngập 1000 ha</t>
  </si>
  <si>
    <t>Khu tiêu Tú Sơn, Mộ Đức</t>
  </si>
  <si>
    <t>Lĩnh vực y tế</t>
  </si>
  <si>
    <t>Lĩnh vực giáo dục và đào tạo</t>
  </si>
  <si>
    <t>Lĩnh vực văn hóa, Thể thao và Du lịch</t>
  </si>
  <si>
    <t>Lĩnh vực quản lý nhà nước, Đảng, Đoàn thể</t>
  </si>
  <si>
    <t>Lĩnh vực Khu công nghiệp và khu kinh tế</t>
  </si>
  <si>
    <t>Xây dựng hệ thống hạ tầng thu gom, thoát nước và xử lý nước thải tập trung khu vực phía Tây và phía Đông sông Trà Bồng Khu kinh tế Dung Quất</t>
  </si>
  <si>
    <t>Đầu tư hệ thống thu gom và 02 trạm với công suất mỗi trạm là 2.000m3/ngày đêm</t>
  </si>
  <si>
    <t>Xây dựng hệ thống thoát nước mưa khu vực phía Tây và phía Đông sông Trà Bồng Khu kinh tế Dung Quất</t>
  </si>
  <si>
    <t>Nâng cấp, mở rộng hệ thống hạ tầng giao thông trên địa bàn KKT Dung Quất (giai đoạn 2)</t>
  </si>
  <si>
    <t>10km</t>
  </si>
  <si>
    <t>Tuyến đường Trì Bình - cảng Dung Quất (giai đoạn 2)</t>
  </si>
  <si>
    <t>8,7km</t>
  </si>
  <si>
    <t>Đường trục Bắc Tịnh Phong – Bình Châu (trục N5)</t>
  </si>
  <si>
    <t>16,5Km</t>
  </si>
  <si>
    <t>Đường trục khu kinh tế phía Đông (trục D4)</t>
  </si>
  <si>
    <t>13,4Km</t>
  </si>
  <si>
    <t>Khu tái định cư Vạn Tường mở rộng</t>
  </si>
  <si>
    <t>10ha</t>
  </si>
  <si>
    <t>Khu tái định cư xã Bình Trị</t>
  </si>
  <si>
    <t>30ha</t>
  </si>
  <si>
    <t>Khu tái định cư Mẫu Trạch (giai đoạn 2)</t>
  </si>
  <si>
    <t>Khu tái định cư Bình Hòa</t>
  </si>
  <si>
    <t>33ha</t>
  </si>
  <si>
    <t>Khu tái định cư Cà Ninh mở rộng</t>
  </si>
  <si>
    <t>50ha</t>
  </si>
  <si>
    <t>Nghĩa trang Động Doan mở rộng (xã Tịnh Phong)</t>
  </si>
  <si>
    <t>05ha</t>
  </si>
  <si>
    <t>Kè chắn cát cảng Dung Quất (giai đoạn 3)</t>
  </si>
  <si>
    <t xml:space="preserve">Đơn vị đề xuất </t>
  </si>
  <si>
    <r>
      <t>L: 4.320 m;</t>
    </r>
    <r>
      <rPr>
        <sz val="9"/>
        <rFont val="Cambria"/>
        <family val="1"/>
      </rPr>
      <t xml:space="preserve"> Đảm bảo chống lũ với tần suất 10%</t>
    </r>
  </si>
  <si>
    <r>
      <t>Khối lượng đào 0,34 triệu m</t>
    </r>
    <r>
      <rPr>
        <vertAlign val="superscript"/>
        <sz val="9"/>
        <rFont val="Times New Roman"/>
        <family val="1"/>
      </rPr>
      <t>3</t>
    </r>
  </si>
  <si>
    <t>a</t>
  </si>
  <si>
    <t>b</t>
  </si>
  <si>
    <t>Dự án Xây dựng trụ sở Công an phường Nguyễn Nghiêm, thị xã Đức Phổ</t>
  </si>
  <si>
    <t>2026</t>
  </si>
  <si>
    <t>Theo Đề án "Xây dựng phường điển hình, kiểu mẫu về ANTT và văn minh đô thị trên địa bàn tỉnh Quảng Ngãi giai đoạn 2023-2030" tại Quyết định số 656/QĐ-UBND ngày 12/7/2024 của UBND tỉnh Quảng Ngãi</t>
  </si>
  <si>
    <t>Dự án Xây dựng trụ sở Công an phường Phổ Minh, thị xã Đức Phổ</t>
  </si>
  <si>
    <t>2027</t>
  </si>
  <si>
    <t>Dự án Xây dựng trụ sở Công an phường Lê Hồng Phong, thành phố Quảng Ngãi</t>
  </si>
  <si>
    <t>Dự án Xây dựng trụ sở Công an phường Phổ Văn, thị xã Đức Phổ</t>
  </si>
  <si>
    <t>2028</t>
  </si>
  <si>
    <t>Dự án Xây dựng trụ sở Công an phường Nghĩa Lộ, thành phố Quảng Ngãi</t>
  </si>
  <si>
    <t>Dự án Xây dựng trụ sở Công an phường Phổ Quang, thị xã Đức Phổ</t>
  </si>
  <si>
    <t>2029</t>
  </si>
  <si>
    <t>Dự án Xây dựng trụ sở Công an phường Phổ Vinh, thị xã Đức Phổ</t>
  </si>
  <si>
    <t>Dự án Xây dựng trụ sở Công an phường Nguyễn Nghiêm, thành phố Quảng Ngãi</t>
  </si>
  <si>
    <t>2030</t>
  </si>
  <si>
    <t>Dự án Xây dựng trụ sở Công an phường Trần Hưng Đạo, thành phố Quảng Ngãi</t>
  </si>
  <si>
    <t>Dự án Cải tạo, nâng cấp Trụ sở làm việc Công an huyện Nghĩa Hành thuộc Công an tỉnh Quảng Ngãi</t>
  </si>
  <si>
    <t>Cải tại, nâng cấp</t>
  </si>
  <si>
    <t>Trụ sở làm việc lâu năm, xuống cấp; diện tích làm việc chật hẹp không còn phù hợp nhu cầu công tác. Đề nghị hỗ trợ đối ứng để thực hiện</t>
  </si>
  <si>
    <t>Dự án Xây dựng mới Cơ sở làm việc Công an thị xã Đức Phổ thuộc Công an tỉnh Quảng Ngãi</t>
  </si>
  <si>
    <t>Dự án Xây dựng mới Cơ sở làm việc Công an  huyện Ba Tơ thuộc Công an tỉnh Quảng Ngãi</t>
  </si>
  <si>
    <t>Dự án Xây dựng mới Cơ sở làm việc Công an huyện Bình Sơn thuộc Công an tỉnh Quảng Ngãi</t>
  </si>
  <si>
    <t>Quốc phòng, an ninh và trật tự an toàn xã hội</t>
  </si>
  <si>
    <t xml:space="preserve"> TP Quảng Ngãi</t>
  </si>
  <si>
    <t>Nghĩa Hành</t>
  </si>
  <si>
    <t xml:space="preserve">Bộ Chỉ huy Quân sự tỉnh </t>
  </si>
  <si>
    <t>Giá trị chuyển tiếp qua giai đoạn 2026-2030 theo TMĐT</t>
  </si>
  <si>
    <t xml:space="preserve">Bộ CHQS tỉnh </t>
  </si>
  <si>
    <t>Huyện Lý Sơn</t>
  </si>
  <si>
    <t xml:space="preserve">UBND tỉnh </t>
  </si>
  <si>
    <t>Bộ CHQS tỉnh</t>
  </si>
  <si>
    <t>Sở Chỉ huy Bộ Chỉ huy quân sự tỉnh Quảng Ngãi</t>
  </si>
  <si>
    <t>Doanh trại Đại đội Kho Vũ khí - Đạn</t>
  </si>
  <si>
    <t>Trạm sửa chữa Tổng hợp Bộ Chỉ huy quân sự tỉnh Quảng Ngãi</t>
  </si>
  <si>
    <t>Kho vũ khí đạn/Kho 50 tấn/ Ban CHQS huyện Lý Sơn/Bộ CHQS tỉnh Quảng Ngãi</t>
  </si>
  <si>
    <t xml:space="preserve">Doanh trại Trung đội DQTT thành phố Quảng Ngãi </t>
  </si>
  <si>
    <t xml:space="preserve">Doanh trại Trung đội DQTT huyện Bình Sơn </t>
  </si>
  <si>
    <t xml:space="preserve">Doanh trại Trung đội DQTT thị xã Đức Phổ </t>
  </si>
  <si>
    <t>Doanh trại Đại đội Trinh sát Cơ giới</t>
  </si>
  <si>
    <t>Sở Chỉ huy trong huấn luyện, diễn tập của Bộ CHQS tỉnh</t>
  </si>
  <si>
    <t xml:space="preserve">Đường vào đường hầm SCH cơ bản Đức Phổ </t>
  </si>
  <si>
    <t>Trang bị xe ô tô các loại cho Bộ Chỉ huy quân sự tỉnh Quảng Ngãi</t>
  </si>
  <si>
    <t>Rà phá bom mìn trên địa bàn tỉnh Quảng Ngãi</t>
  </si>
  <si>
    <t>Sở Chỉ huy hậu phương tỉnh Quảng Ngãi</t>
  </si>
  <si>
    <t>Sai, vốn sự nghiệp</t>
  </si>
  <si>
    <t>TPQN</t>
  </si>
  <si>
    <t>Toàn tỉnh</t>
  </si>
  <si>
    <t>Đối ứng vốn bộ quốc phòng</t>
  </si>
  <si>
    <t>Bộ Chỉ huy BĐBP tỉnh</t>
  </si>
  <si>
    <t>TX. Đức Phổ</t>
  </si>
  <si>
    <t>H. Bình Sơn</t>
  </si>
  <si>
    <t>Đề nghị Địa phương đầu tư 50%, Bộ Quốc phòng đầu tư 50% KP</t>
  </si>
  <si>
    <t>2028-2029</t>
  </si>
  <si>
    <t>H. Lý Sơn</t>
  </si>
  <si>
    <t>Xây dựng mới Đồn Biên phòng Phổ Quang</t>
  </si>
  <si>
    <t>Xây dựng nhà trực ban, khách, ở CBCS cơ quan BCH</t>
  </si>
  <si>
    <t>Xây dựng nhà ở CBCS đội tàu Hải đội 2 BP, đội công tác địa bàn đồn BP Bình Hải</t>
  </si>
  <si>
    <t>Xây dựng mới 02 Trạm KSBP Cửa khẩu cảng Dung Quất</t>
  </si>
  <si>
    <t>Xây dựng Bổ sung các hạng mục Đồn Biên phòng Đức Minh</t>
  </si>
  <si>
    <t>Mua sắm, lắp đặt hệ thống Thông tin liên lạc phục vụ nhiệm vụ diễn tập, điều hành, PCTT-TKCN, CH cho các đơn vị thuộc BĐBP tỉnh</t>
  </si>
  <si>
    <t>Sửa chữa, cải tạo Trạm KSBP Mỹ Á</t>
  </si>
  <si>
    <t>Xây dựng nhà ở CBCS đội Kiểm soát cảng Bến Đình/ Đồn Biên phòng Lý Sơn</t>
  </si>
  <si>
    <t>Chi trả nợ</t>
  </si>
  <si>
    <t>XDCB k co trả nợ vay</t>
  </si>
  <si>
    <t>Đối ứng ODA</t>
  </si>
  <si>
    <t>Khởi công mới giai đoạn 2026 - 2030</t>
  </si>
  <si>
    <t>Bố trí chuyển tiếp các dự án từ giai đoạn 2021-2025 sang giai đoạn 2026-2030</t>
  </si>
  <si>
    <t>NSDP còn lại cho dự án KCM</t>
  </si>
  <si>
    <t>Vốn CBĐT đã bố trí đến năm 2025</t>
  </si>
  <si>
    <t>Nhu cầu vốn giai đoạn 2026-2030</t>
  </si>
  <si>
    <t>Vốn quyết toán dự án hoàn thành</t>
  </si>
  <si>
    <t>Vốn đầu tư của Nhà nước tham gia thực hiện dự án theo phương thức đối tác công tư (nếu có)</t>
  </si>
  <si>
    <t>Dự kiến phân bổ vốn</t>
  </si>
  <si>
    <t>VỐN CÂN ĐỐI NGÂN SÁCH ĐỊA PHƯƠNG (I+II+III+IV)</t>
  </si>
  <si>
    <t xml:space="preserve">Dự kiến nguồn vốn </t>
  </si>
  <si>
    <t>So với nguồn</t>
  </si>
  <si>
    <t>Tổng</t>
  </si>
  <si>
    <t>ĐP</t>
  </si>
  <si>
    <t>TW</t>
  </si>
  <si>
    <t>Phân cấp nguồn vốn XDCB tập trung cho các địa phương</t>
  </si>
  <si>
    <t>Giao nguồn thu tiền sử dụng đất cho các địa phương tự thu - chi</t>
  </si>
  <si>
    <t>ok</t>
  </si>
  <si>
    <t>Vẫn có 10 hộ cần giải phóng mặt bằng</t>
  </si>
  <si>
    <t>- Sở Nông nghiệp và PTNT
- BQLDA ĐTXD các CTGT tỉnh</t>
  </si>
  <si>
    <t>Sửa chữa, nâng cấp đập ngăn mặn Khê Hòa</t>
  </si>
  <si>
    <t>Sở NN đề xuất 250 tỷ đồng</t>
  </si>
  <si>
    <t>Sở NN đề xuất 600 tỷ đồng</t>
  </si>
  <si>
    <t>Ban NN chỉ để xuất 10 hồ là 150 tỷ đồng</t>
  </si>
  <si>
    <t>Nâng cấp, mở rộng đường Thanh niên (Nối từ đường Hoàng sa - Dốc Sỏi đến Sân bay Chu Lai)</t>
  </si>
  <si>
    <t>L=5,2km, mặt đường 16m</t>
  </si>
  <si>
    <t>Không (nằm trong dự án 350 tỷ của Ban dung quất rồi)</t>
  </si>
  <si>
    <t>Nâng cấp, mở rộng đường tỉnh ĐT.622C đoạn từ QL1 đến Chợ Đình</t>
  </si>
  <si>
    <t>Huyện Sơn Tịnh và huyện Trà Bồng</t>
  </si>
  <si>
    <t>Đường cấp IV Đồng Bằng; Chiều dài tuyến khoảng 9Km, với quy mô nền đường 9m, mặt đường 7m</t>
  </si>
  <si>
    <t>Kết nối thuận lợi giữa huyện Trà Bồng và các xã phía Tây của huyện Sơn tịnh với KCN VSIP, KCN Tịnh Phong và thành phố Quảng Ngãi</t>
  </si>
  <si>
    <t>Nâng cấp, mở rộng đường tỉnh ĐT.624B (các đoạn còn lại để
đảm bảo kết nối thuận lợi từ QL1 lên đường cao tốc Quảng Ngãi-Hoài Nhơn)</t>
  </si>
  <si>
    <t>Huyện Mộ Đức và huyện Nghĩa Hành</t>
  </si>
  <si>
    <t>Chiều dài khoảng 4,7Km, quy mô nền đường 9m, mặt đường 7m</t>
  </si>
  <si>
    <t>Đoạn tuyến trên đã được Bộ GTVT đưa vào danh mục các tuyến kết nối có nhu cầu cấp thiết, cần đầu tư sớm và đã kiến nghị hỗ trợ từ nguồn NSTW tại Công văn số 4752/BGTVT-KHĐT ngày
06/5/2024</t>
  </si>
  <si>
    <t>Sở Giao thông Vận Tải</t>
  </si>
  <si>
    <t>Tuyến đường từ Đường Trì Bình-Cảng Dung Quất đến đường vào Cảng hàng không Chu Lai</t>
  </si>
  <si>
    <t>- Sở Giao thông Vận tải
- BQL KKT Dung Quất và các KCN Quảng Ngãi</t>
  </si>
  <si>
    <t>Ban dq đề nghị làm đến nhà ga với TMĐT là 700 tỷ đồng</t>
  </si>
  <si>
    <t>4,1Km</t>
  </si>
  <si>
    <t>vướng lắm</t>
  </si>
  <si>
    <t>Sở Tài nguyên và Môi trường</t>
  </si>
  <si>
    <t>Dự án Hệ thống hạ tầng kỹ thuật Khu đô thị trục đường Mỹ Trà-Mỹ Khê</t>
  </si>
  <si>
    <t>Sở Nội vụ</t>
  </si>
  <si>
    <t>Sửa chữa, nâng cấp Trung tâm Lưu trữ lịch sử</t>
  </si>
  <si>
    <t>Dự án Chuyển đổi số cho hệ thống thông tin cơ sở, thông tin đối ngoại tỉnh Quảng Ngãi</t>
  </si>
  <si>
    <t>Dự án đảm bảo an toàn, an ninh thông tin mạng các cơ quan nhà nước tỉnh Quảng Ngãi</t>
  </si>
  <si>
    <t>Dự án xây dựng Kho dữ liệu dùng chung và Hệ sinh thái dữ liệu mở trên cơ sở các Kho dữ liệu hiện có, Cổng dữ liệu mở phục vụ chuyển đổi số tỉnh</t>
  </si>
  <si>
    <t xml:space="preserve">Sở Lao động- Thương binh và Xã hội </t>
  </si>
  <si>
    <t>Dự án Trung tâm cai nghiện ma túy tỉnh Quảng Ngãi</t>
  </si>
  <si>
    <t>Sở LĐTBXH</t>
  </si>
  <si>
    <t>Xã Nghĩa Kỳ, huyện Tư Nghĩa, tỉnh Quảng Ngãi</t>
  </si>
  <si>
    <t>500 đối tượng</t>
  </si>
  <si>
    <t>Vốn của Bộ LĐ, TB &amp;XH</t>
  </si>
  <si>
    <t>Đài Phát thanh và Truyền hình tỉnh Quảng Ngãi</t>
  </si>
  <si>
    <t>Dự án Hệ thống thiết bị hậu kỳ và tiền kỳ sản xuất chương trình chuẩn HD/4K</t>
  </si>
  <si>
    <t>Dự án Phần mềm chuyển đổi số cho quy trình quản lý, sản xuất phát thanh - truyền hình và ứng dụng app OTT</t>
  </si>
  <si>
    <t>Dự án Đầu tư xây dựng Nhà hát truyền hình</t>
  </si>
  <si>
    <t>Dự án Thiết bị sản xuất cho cho Trường quay lớn</t>
  </si>
  <si>
    <t xml:space="preserve">Dự án Thiết bị phục vụ phim trường đa năng, thực tế ảo </t>
  </si>
  <si>
    <t>Dự án Xe phát thanh lưu động và thiết bị đi kèm</t>
  </si>
  <si>
    <t>Dự án Hệ thống tổng khống chế truyền hình theo công nghệ mới</t>
  </si>
  <si>
    <t>Dự án Thiết bị sản xuất, truyền dẫn phát thanh</t>
  </si>
  <si>
    <t>Dự án Hệ thống máy phát thanh FM 5KWx2</t>
  </si>
  <si>
    <t>Dự án Xe truyền hình lưu động theo chuẩn công nghệ mới và phụ kiện đi kèm</t>
  </si>
  <si>
    <t>Văn phòng Tỉnh ủy</t>
  </si>
  <si>
    <t>Phát triển hạ tầng kỹ thuật phục vụ Chuyển đổi số trong hoạt động của các cơ quan, tổ  chức đảng tỉnh (Nâng cấp Trung tâm dữ liệu, hạ tầng kho dữ liệu số hóa dùng chung, sao lưu, an toàn thông tin…)</t>
  </si>
  <si>
    <t>Nghị quyết 13-NQ/TU ngày 06/9/2023 và Kế hoạch số 237-KH/TU ngày 12/12/2023 của Ban Thường vụ Tỉnh ủy</t>
  </si>
  <si>
    <t>Trường ĐH Phạm Văn Đồng</t>
  </si>
  <si>
    <t>Dự án Trường Đại học Phạm Văn Đồng theo quy hoạch tỷ lệ 1/500 đã được phê duyệt</t>
  </si>
  <si>
    <t>Dự án xây dựng vườn ươm doanh nghiệp đổi mới sáng tạo, không gian làm việc chung hỗ trợ khởi nghiệp sáng tạo</t>
  </si>
  <si>
    <t>Cơ sở vật chất, kỹ thuật và dịch vụphục vụ ươm tạo ý tưởng, doanh nghiệp. 01 không gian sáng tạo, 01 khu vực hoạt động, sinh hoạt chung của các doanh nghiệp khởi nghiệp; tổng diện tích sàn là 2.109,5m2 được bố trí theo hình thức không gian mở,.</t>
  </si>
  <si>
    <t xml:space="preserve">Dự án Phòng thí nghiệm Cơ - Điện tử phục vụ đào tạo và nghiên cứu </t>
  </si>
  <si>
    <t>Dự án đầu tư phòng thí nghiệm có quy mô trung bình, dự kiến gồm hệ thống các phòng thí nghiệm: Phòng thí nghiệm Đo lường - Cảm biến, Phòng thí nghiệm PLC và Vi điều khiển, Phòng thí nghiệm Sản xuất tự động,…</t>
  </si>
  <si>
    <t>Sở Giáo dục và Đào tạo</t>
  </si>
  <si>
    <t>Trường THPT Nguyễn Công Phương - Hạng mục dãy 20 phòng học, nhà xe, hội trường và các hạng mục phụ trợ</t>
  </si>
  <si>
    <t>Trường THPT Trần Kỳ Phong - Hạng mục dãy 18 phòng học, hội trường và các hạng mục phụ trợ</t>
  </si>
  <si>
    <t>Trường THPT Lê Quý Đôn - Hạng mục 18 phòng học</t>
  </si>
  <si>
    <t>Trường THPT Minh Long - Hạng mục phòng làm việc chuyên môn, hội trường</t>
  </si>
  <si>
    <t>Trường THPT Chu Văn An - Xây dựng mới dãy nhà hiệu bộ</t>
  </si>
  <si>
    <t>Trường THCS và THPT Phạm Kiệt - Xây dựng hội trường</t>
  </si>
  <si>
    <t>Trường THPT Lê Trung Đình - Nâng cấp sân trường, nhà xe, hồ bơi</t>
  </si>
  <si>
    <t>Trường Phổ thông DTNT THPT Tỉnh - Cải tạo ký túc xá C, hệ thống phòng cháy chữa cháy, nhà sinh hoạt cộng đồng, nhà đa năng</t>
  </si>
  <si>
    <t>Trường THPT Bình Sơn - Xây dựng nhà vệ sinh, nâng cấp nhà thi đấu đa năng, dãy phòng học</t>
  </si>
  <si>
    <t>Trường THCS và THPT Phó Mục Gia -Sân bóng đá, phòng học, hồ bơi, hội trường</t>
  </si>
  <si>
    <t>SỞ BAN NGÀNH TỈNH</t>
  </si>
  <si>
    <t>HUYỆN, THỊ XÃ, THÀNH PHỐ</t>
  </si>
  <si>
    <t>Dự kiến vận động trong giai đoạn 2026-2030</t>
  </si>
  <si>
    <t>STT</t>
  </si>
  <si>
    <t>Đơn vị</t>
  </si>
  <si>
    <t>Giai đoạn 2021-2025</t>
  </si>
  <si>
    <t>Số dự án</t>
  </si>
  <si>
    <t>Giai đoạn 2026-2030</t>
  </si>
  <si>
    <t>UBND huyện Sơn Tịnh</t>
  </si>
  <si>
    <t>UBND huyện Tư Nghĩa</t>
  </si>
  <si>
    <t>UBND huyện Ba Tơ</t>
  </si>
  <si>
    <t>UBND huyện Sơn Tây</t>
  </si>
  <si>
    <t>UBND huyện Lý Sơn</t>
  </si>
  <si>
    <t>Trung tâm Chính trị - Hành chính huyện Bình Sơn</t>
  </si>
  <si>
    <t>UBND huyện</t>
  </si>
  <si>
    <t>Thị trấn Châu Ổ</t>
  </si>
  <si>
    <t>8.100m2 sàn</t>
  </si>
  <si>
    <t>Hệ thống điện chiếu sáng công cộng các tuyến đường trục chính trên địa bàn huyện</t>
  </si>
  <si>
    <t>Trên bàn huyện Bình Sơn</t>
  </si>
  <si>
    <t>Chiều dài tổng cộng 183,5km</t>
  </si>
  <si>
    <t xml:space="preserve">Trạm xử lý nước thải tập trung phía Bắc thị trấn Châu Ổ và vùng phụ cận </t>
  </si>
  <si>
    <t>Thị trấn Châu Ổ và vùng phụ cận</t>
  </si>
  <si>
    <t>TXL nước thải công suất 1.500m3/ng.đêm và hệ thống đường ống</t>
  </si>
  <si>
    <t>Đường từ QL1 (Ngã tư Chợ Châu Ổ) đi đường tỉnh lộ 622B, xã Bình Long</t>
  </si>
  <si>
    <t>TT Châu Ổ và xã Bình Long</t>
  </si>
  <si>
    <t>1,37km</t>
  </si>
  <si>
    <t>Nâng cấp, mở rộng tuyến đường Nguyễn Tự Tân (đường tỉnh ĐT.621)</t>
  </si>
  <si>
    <t xml:space="preserve">TT Châu Ổ </t>
  </si>
  <si>
    <t>Mở rộng nút giao thông với QL1 và hệ thống hạ tầng khác</t>
  </si>
  <si>
    <t>Hệ thống Kè, mương thoát nước từ bênh viện đa khoa Bình Sơn đến Kênh Long Xuân, xã Bình Long</t>
  </si>
  <si>
    <t>1,3km</t>
  </si>
  <si>
    <t>Nâng cấp mở rộng tuyến đường ĐH.09 (Bình Minh – Bình An)</t>
  </si>
  <si>
    <t>Xã Bình Minh và Bình An</t>
  </si>
  <si>
    <t>Nâng cấp, cải tạo mặt đường L=7,3km; kết cấu mặt đường bê tông xi măng, bê tông nhựa</t>
  </si>
  <si>
    <t>Hệ thống điện chiếu sáng công cộng trên tuyến đường tỉnh ĐT.621 (đoạn từ cầu bi đến xã Bình Châu)</t>
  </si>
  <si>
    <t>20,5km</t>
  </si>
  <si>
    <t>Quảng trường huyện Bình Sơn</t>
  </si>
  <si>
    <t>18ha</t>
  </si>
  <si>
    <t>Tuyến D10 trung tâm huyện Sơn Tịnh (mới)</t>
  </si>
  <si>
    <t>Xã Tịnh Hà</t>
  </si>
  <si>
    <t>2026 - 2030</t>
  </si>
  <si>
    <t>Tuyến D11 trung tâm huyện Sơn Tịnh (mới)</t>
  </si>
  <si>
    <t>Tuyến N6 trung tâm huyện Sơn Tịnh mới</t>
  </si>
  <si>
    <t>Tuyến N16 trung tâm huyện Sơn Tịnh mới</t>
  </si>
  <si>
    <t>Trục dọc D1 (ĐT.621D) thuộc Quy hoạch chung đô thị mới Sơn Tịnh</t>
  </si>
  <si>
    <t>Trục dọc D2 thuộc Quy hoạch chung đô thị mới Sơn Tịnh</t>
  </si>
  <si>
    <t>Trục ngang N2 thuộc Quy hoạch chung đô thị mới Sơn Tịnh</t>
  </si>
  <si>
    <t>12/NQ-HĐND ngày 30/7/2025</t>
  </si>
  <si>
    <t>Thực hiện giai đoạn 2</t>
  </si>
  <si>
    <t>Công viên Thiên Bút, thành phố Quảng Ngãi (giai đoạn 2)</t>
  </si>
  <si>
    <t>Công viên Cây xanh Thạch Bích, thành phố Quảng Ngãi (giai đoạn 2)</t>
  </si>
  <si>
    <t>Đường Chu Văn An và khu dân cư (đoạn từ Ngô Sỹ Liên đến đường Hùng Vương)</t>
  </si>
  <si>
    <t>1022/QĐ-UBND 
19/7/2019</t>
  </si>
  <si>
    <t>Giai đoạn 1 là 400 tỷ đồng</t>
  </si>
  <si>
    <t>Giai đoạn 1 là 300 tỷ đồng</t>
  </si>
  <si>
    <t>Đường Bùi Thị Xuân nối dài (đoạn từ đường Nguyễn Ngọc Lê đến đường ĐH.27B)</t>
  </si>
  <si>
    <t>Thị trấn Sông Vệ</t>
  </si>
  <si>
    <t>Chiều dài L = 920m</t>
  </si>
  <si>
    <t>Đường trục chính phía Tây Tư Nghĩa (đoạn từ đường dẫn cao tốc đến giáp sông Bàu Cát)</t>
  </si>
  <si>
    <t>Xã Nghĩa Phương, xã Nghĩa Thương, thị trấn Sông Vệ</t>
  </si>
  <si>
    <t>Chiều dài L= 1,450m</t>
  </si>
  <si>
    <t>Tuyến Đường Trung tâm đô thị mới Nam Sông Vệ, xã Đức Nhuận</t>
  </si>
  <si>
    <t>Xã Đức Nhuận</t>
  </si>
  <si>
    <t>Chiều dài 3,2km, mặt cắt ngang đường 27m</t>
  </si>
  <si>
    <t>Tuyến Đường tránh đô thị mới Thạch Trụ, xã Đức Lân</t>
  </si>
  <si>
    <t>Xã Đức Lân</t>
  </si>
  <si>
    <t>Chiều dài 5km, mặt cắt ngang đường  32m</t>
  </si>
  <si>
    <t>Tuyến đường Đức Tân (Quẹo Thừa Xuân) - QL24 (đoạn Quẹo Thừa Xuân - Giáp Đường ĐT 624C)</t>
  </si>
  <si>
    <t>Xã Đức Tân</t>
  </si>
  <si>
    <t>L=1Km</t>
  </si>
  <si>
    <t>UBND huyện Đức Phổ</t>
  </si>
  <si>
    <t>Đường Phổ Hòa - Phổ Vinh (đoạn Nguyễn Tất Thành - Phổ Vinh)</t>
  </si>
  <si>
    <t>UBND TX Đức Phổ</t>
  </si>
  <si>
    <t>Phổ Vinh</t>
  </si>
  <si>
    <t>L=1.600m</t>
  </si>
  <si>
    <t>Cầu Đò Mốc và đường dẫn</t>
  </si>
  <si>
    <t>Phổ Văn và Phổ Quang</t>
  </si>
  <si>
    <t>L=620m</t>
  </si>
  <si>
    <t>Cầu Phú Thọ</t>
  </si>
  <si>
    <t>Xã Hành Tín Tây</t>
  </si>
  <si>
    <t>Hệ thống điện chiếu sáng tuyến ĐT.628, huyện Nghĩa Hành</t>
  </si>
  <si>
    <t xml:space="preserve">Cầu Bến Đá </t>
  </si>
  <si>
    <t>Cầu Sông Re</t>
  </si>
  <si>
    <t xml:space="preserve"> Xã Ba Vì</t>
  </si>
  <si>
    <t>Đầu tư hạ tầng Cụm công nghiệp Ba Động</t>
  </si>
  <si>
    <t>Xã Ba Động, Ba Thành</t>
  </si>
  <si>
    <t>Bờ kè Suối Pa Ranh (TT đô thị mới)</t>
  </si>
  <si>
    <t>800m</t>
  </si>
  <si>
    <t>Khu xử lý chất thải rắn sinh hoạt</t>
  </si>
  <si>
    <t>Xã Ba Thành</t>
  </si>
  <si>
    <t>3ha</t>
  </si>
  <si>
    <t>Nâng cấp, mở rộng đường Phạm Văn Đắp</t>
  </si>
  <si>
    <t>Thị trấn Ba Tơ</t>
  </si>
  <si>
    <t>265m</t>
  </si>
  <si>
    <t>Đường vào Hồ Tôn Dung</t>
  </si>
  <si>
    <t>750m</t>
  </si>
  <si>
    <t>Nghĩa trang nhân dân huyện Ba Tơ (giai đoạn 1)</t>
  </si>
  <si>
    <t>Xã Ba Cung</t>
  </si>
  <si>
    <t>1ha</t>
  </si>
  <si>
    <t>Kè chống sạt lở Bờ Hữu Suối Tía ( Đoạn từ cầu Thiệp xuyên đến Cầu Suối tía)</t>
  </si>
  <si>
    <t>Xã Long Hiệp</t>
  </si>
  <si>
    <t>L=1000m</t>
  </si>
  <si>
    <t>Cầu Suối Tía 3 và đường hai đầu cầu</t>
  </si>
  <si>
    <t>Cầu 72m và đường 2 đầu cầu</t>
  </si>
  <si>
    <t>Hệ thống điện chiếu sáng đường tỉnh lộ 624 (đoạn giáp ranh huyện Nghĩa Hành đến trung tâm huyện Minh Long từ lý trình Km18+600 – Km26+100)</t>
  </si>
  <si>
    <t>Xã Long Mai-Long Hiệp</t>
  </si>
  <si>
    <t>L= 7500m</t>
  </si>
  <si>
    <t>Hệ thống nước Thác Trắng - Trung tâm huyện</t>
  </si>
  <si>
    <t>Xã Thanh An- Long Hiệp</t>
  </si>
  <si>
    <t>1.000m3/ ngày, đêm</t>
  </si>
  <si>
    <t>Xây dựng Trường PTDTBT TH  và THCS  Long Môn: Hạng mục, Nhà đa năng và các phòng học</t>
  </si>
  <si>
    <t>Xã Long Môn</t>
  </si>
  <si>
    <t>Phòng học bộ môn 04 Phòng 2 tầng; Nhà đa năng và San nền</t>
  </si>
  <si>
    <t>Nâng cấp, sửa chữa Hồ Đồng Cần</t>
  </si>
  <si>
    <t>Xã Thanh An</t>
  </si>
  <si>
    <t>Diện tích mặt nước 5,4ha</t>
  </si>
  <si>
    <t>Mở rộng Sân vận động Khu văn hóa thể thao Trung tâm huyện</t>
  </si>
  <si>
    <t>Diện tích sân vận động 3,2ha</t>
  </si>
  <si>
    <t>Kè chống sạt lở Khu Diên Sơn đến Lạc Sơn (Cầu Đồng Tre đến đập Đồng Thét)</t>
  </si>
  <si>
    <t>Xã Long Sơn</t>
  </si>
  <si>
    <t>L=2500m</t>
  </si>
  <si>
    <t>Kè Bờ Tả Sông Phước Giang ( giai đoạn 2)</t>
  </si>
  <si>
    <t>Xã Long Mai</t>
  </si>
  <si>
    <t>L=1500m</t>
  </si>
  <si>
    <t>Cầu Cà Xen và đường hai đầu cầu</t>
  </si>
  <si>
    <t>Cầu 42m và đường 2 đầu cầu</t>
  </si>
  <si>
    <t>Đầu tư nâng cấp đường Sơn Hạ - Cà Tu - Xóm Đèo</t>
  </si>
  <si>
    <t>UBND Huyện Sơn Hà</t>
  </si>
  <si>
    <t>xã Sơn Hạ</t>
  </si>
  <si>
    <t>Công trình giao thông, cấp IV</t>
  </si>
  <si>
    <t>Trung tâm bảo tồn văn hóa H're; hạng mục: Làng văn hóa H're và cảnh quan</t>
  </si>
  <si>
    <t>Thị trấn Di lăng</t>
  </si>
  <si>
    <t xml:space="preserve"> Hạ tầng kỹ thuật, Nhà sàn H're 1,2 thế hệ, khu cảnh quan cây xanh, </t>
  </si>
  <si>
    <t>Cầu Tà Pía (Sơn Hải)</t>
  </si>
  <si>
    <t>xã Sơn Hải</t>
  </si>
  <si>
    <t>Cầu BTCT vĩnh cửu</t>
  </si>
  <si>
    <t>2029-2030</t>
  </si>
  <si>
    <t>Đường BTXM Làng Lòn, Sơn Trung đi Pa Ra, Sơn Hải</t>
  </si>
  <si>
    <t>Sơn Trung và Sơn Hải</t>
  </si>
  <si>
    <t>2027- 2029</t>
  </si>
  <si>
    <t>Kè sông Rin, Thị trấn Di Lăng, huyện Sơn Hà (đoạn Cầu sông Rin mới - Hàng Gòn)</t>
  </si>
  <si>
    <t>Kè và Đường, hạ tầng kỹ thuật</t>
  </si>
  <si>
    <t>Đường D2, đường vành đai phía Đông đô thị Sơn Hạ</t>
  </si>
  <si>
    <t>Xã Sơn Hạ, Sơn Thành</t>
  </si>
  <si>
    <t>Sân vận động và khu liên hợp văn hóa, thể thao huyện</t>
  </si>
  <si>
    <t>Xã Sơn Dung</t>
  </si>
  <si>
    <t xml:space="preserve">Đường Đô thị 03 (ĐT.04-KDC Tu Ka Nhổ) </t>
  </si>
  <si>
    <t>Xã Sơn Mùa</t>
  </si>
  <si>
    <t>Được thiết kế theo tiêu chuẩn  TCXDVN 104-2007 (Đường phố gom),  Chiều dài tuyến L =  1.400m. Theo quy hoạch được duyệt</t>
  </si>
  <si>
    <t>Kè chống sạt lỡ Suối Nước Lát</t>
  </si>
  <si>
    <t>1 km</t>
  </si>
  <si>
    <t xml:space="preserve">Đường Đô thị 12 (Đường TSĐ-VH2) </t>
  </si>
  <si>
    <t>Được thiết kế theo tiêu chuẩn  TCXDVN 104-2007(Đường phố gom),  Chiều dài tuyến L =  6000m. Theo quy hoạch được duyệt</t>
  </si>
  <si>
    <t>Sửa chữa, cải tạo, nâng cấp, mở rộng Trụ sở làm việc Huyện ủy Sơn Tây</t>
  </si>
  <si>
    <t>Xây dựng cơ sở hạ tầng khu tái định cư tập trung tại xã Sơn Mùa, huyện Sơn Tây</t>
  </si>
  <si>
    <t>San nền đất ở, đường giao thông nội, ngoại vùng, hệ thống cấp điện sinh hoạt, hệ thống cấp nước sinh hoạt</t>
  </si>
  <si>
    <t>Xây dựng các tuyến đường phía Bắc đô thị thị trấn Trà Xuân</t>
  </si>
  <si>
    <t>Thị trấn Trà Xuân và xã Trà Thủy</t>
  </si>
  <si>
    <t>Chiều dài khoảng L= 760m, Tải trọng thiết kế: HL93, Chiều dài nhịp cầu: 3x33m
Khổ cầu: 7,5+2,0x2(bên)=11,5m</t>
  </si>
  <si>
    <t>Hệ thống cấp nước sinh hoạt huyện Trà Bồng (xã Trà Sơn, TT Trà Xuân, xã Trà Phú và xã Trà Bình)</t>
  </si>
  <si>
    <t>Xã Trà Sơn, TT Trà Xuân, xã Trà Phú và xã Trà Bình</t>
  </si>
  <si>
    <t>- Công suất cấp nước : 3.500m3/ngđ.
- Hạng mục công trình Đầu tư xây dựng mới:
+ Công trình thu nước.
+ Trạm bơm cấp nước
+ Trạm xử lý nước.
+ Tuyến ống truyền dẫn nước sạch.
- Tần suất đảm bảo tưới: P= 90%</t>
  </si>
  <si>
    <t>Tuyến đường đi Trà Phong đi Trà Thanh, Trà Phong đi Trà Xinh (nối tiếp)</t>
  </si>
  <si>
    <t>L=11,5km</t>
  </si>
  <si>
    <t xml:space="preserve">Trà Phong, Trà Thanh, Trà Xinh </t>
  </si>
  <si>
    <t>Bảo tàng Hoàng Sa, Trường Sa</t>
  </si>
  <si>
    <t>An Vĩnh</t>
  </si>
  <si>
    <t>Nâng cấp, sửa chữa đường cơ động phía Nam đảo Lý Sơn (Đoạn từ Cầu Vượt An Vĩnh đến Cảng Bến Đình)</t>
  </si>
  <si>
    <t>Khu tái định cư huyện Lý Sơn</t>
  </si>
  <si>
    <t>Kè chắn sóng cầu cập An Bình</t>
  </si>
  <si>
    <t>An Bình</t>
  </si>
  <si>
    <t>Đường D2 (Đoạn từ Trung tâm huyện đến trục đường chính)</t>
  </si>
  <si>
    <t>Nâng cấp Hồ chứa nước Thới Lới</t>
  </si>
  <si>
    <t>Nâng cấp tuyến đường Trung tâm huyện</t>
  </si>
  <si>
    <t>Tuyến đường trục đường chính trung tâm huyện (nối dài)</t>
  </si>
  <si>
    <t>(1)</t>
  </si>
  <si>
    <t>(2)</t>
  </si>
  <si>
    <t>(3)</t>
  </si>
  <si>
    <t>(4)</t>
  </si>
  <si>
    <t>(5)</t>
  </si>
  <si>
    <t>(6)</t>
  </si>
  <si>
    <t>(7)</t>
  </si>
  <si>
    <t>(8)</t>
  </si>
  <si>
    <t>(9)</t>
  </si>
  <si>
    <t>(10)</t>
  </si>
  <si>
    <t>(11)</t>
  </si>
  <si>
    <t>(12)</t>
  </si>
  <si>
    <t>(13)</t>
  </si>
  <si>
    <t>(14)</t>
  </si>
  <si>
    <t>Sở Nông nghiệp và PTNT</t>
  </si>
  <si>
    <t>(15)</t>
  </si>
  <si>
    <t>Đóng mới tàu Kiểm ngư  (nhằm tăng cường năng lực cho lực lượng tuần tra bảo vệ NLTS)</t>
  </si>
  <si>
    <t xml:space="preserve">Quyết định 268/QĐ-UBND ngày 28/3/2022  </t>
  </si>
  <si>
    <t>Dự án cải tạo, nâng cấp cơ sở hạ tầng, kiên cố hóa hệ thống thủy lợi đồng muối Sa Huỳnh</t>
  </si>
  <si>
    <t>Sa Huỳnh, Đức Phổ</t>
  </si>
  <si>
    <t xml:space="preserve">Quyết định 1325/QĐ-TTg ngày 31/8/2020 </t>
  </si>
  <si>
    <t>Các khu tái định cư vùng có nguy cơ sạt lở ở vùng núi</t>
  </si>
  <si>
    <t>Xây dựng Nông thôn mới (bao gồm bố trí thực hiện Chương trình hỗ trợ phát triển KTTT, HTX; Cấp nước sạch nông thôn; Giao thông nông thôn)</t>
  </si>
  <si>
    <t>Các dự án phát triển lâm nghiệp bền vững</t>
  </si>
  <si>
    <t>- Quyết định 1918/QĐ-UBND ngày 31/12/2022
- Đối ứng vốn Bộ Nông nghiệp và PTNT</t>
  </si>
  <si>
    <t>Đối ứng vốn Bộ Nông nghiệp và PTNT</t>
  </si>
  <si>
    <t>Kè chống sạt lở Bờ Hữu Suối Tía (Đoạn từ cầu Thiệp xuyên đến Cầu Suối tía)</t>
  </si>
  <si>
    <t>Đường nối từ Phía Nam cầu Đập Dâng đến nút giao Quốc lộ 1 và đường dẫn cao tốc Đà Nẵng - Quảng Ngãi  (trục dọc D9)</t>
  </si>
  <si>
    <t>Sửa chữa, nâng cấp 10 hồ chứa nước bảo đảm an toàn đập, an ninh nguồn nước (Hòa Hải, Phượng Hoàng, Hàm Rồng, Hóc Mốc, Hóc Mít, Phước Tích, Tôn Dung, Ông Tới, Đồng Cần, Hố Tre)</t>
  </si>
  <si>
    <t>Bình Sơn, Sơn Tịnh, Mộ Đức và Ba Tơ</t>
  </si>
  <si>
    <t>Dự kiến giai đoạn 2026 - 2030</t>
  </si>
  <si>
    <t>Đường Cầu Trà Khúc 3 nối dài đến đường La Hà - Nghĩa Thuận (ĐH24), đoạn TL623B đi ĐH24</t>
  </si>
  <si>
    <t>Tư nghĩa</t>
  </si>
  <si>
    <t>Quy mô: chiều dài: L=1900m</t>
  </si>
  <si>
    <t>2026- 2028</t>
  </si>
  <si>
    <t>Nâng cấp, chỉnh trang Sân vận động huyện và nâng cấp, cải tạo Hồ Đầm Sen</t>
  </si>
  <si>
    <t>huyện Nghĩa Hành</t>
  </si>
  <si>
    <t>Kè chống sạt lở sông Phước Giang, đoạn qua thị trấn Chợ Chùa (giai đoạn 2)</t>
  </si>
  <si>
    <t>Nghĩa trang nhân dân huyện Ba Tơ</t>
  </si>
  <si>
    <t>Cầu Sông Liên (Cầu Hang Én)</t>
  </si>
  <si>
    <t>Cầu, đường đầu cầu và hệ thống hạ tầng kỹ thuật</t>
  </si>
  <si>
    <t>1.500m</t>
  </si>
  <si>
    <t>TT Ba Tơ</t>
  </si>
  <si>
    <t>7ha</t>
  </si>
  <si>
    <t>2026-2039</t>
  </si>
  <si>
    <t>Đường ven biển Dung Quất - Sa Huỳnh, giai đoạn III (các đoạn còn lại)</t>
  </si>
  <si>
    <t>Khái toán tổng mức đầu tư</t>
  </si>
  <si>
    <t>BV Sơn Tịnh cũ</t>
  </si>
  <si>
    <t>- Sở Giáo dục và Đào tạo
- BQLDA ĐTXD các công trình DD&amp;CN tỉnh</t>
  </si>
  <si>
    <t>Đường vào Khu di tích Quốc gia đặc biệt Sa Huỳnh (phía Bắc Đầm An Khê)</t>
  </si>
  <si>
    <t>Hoạt động của các cơ quan quản lý nhà nước, đơn vị sự nghiệp công lập, tổ chức chính trị và các tổ chức chính trị-xã hội</t>
  </si>
  <si>
    <t>Kết nối thông suốt từ Cao tốc Bắc Nam, Quốc lộ 1A xuống cảng Dung Quất rất thuận lợi cho việc vận chuyển hàng hoá, đặc biệt trong nhu cầu sắp đến la rất lớn</t>
  </si>
  <si>
    <t>Đây là tuyến đường trục chính đối ngoại kết nối đường Cao tốc, Quốc lộ 1A với Phân khu đô thị, công nghiệp, dịch vụ Châu Ổ - Bình Long; Phân khu đô thị, công nghiệp, dịch vụ Nam Dung Quất và Phân khu đô thị, dịch vụ Đông Nam Dung Quất nhằm phát triển quỹ đất 02 bên đường để thu hút đầu tư phát triển công nghiệp, đô thị, dịch vụ, đồng thời đảm bảo an ninh quốc phòng</t>
  </si>
  <si>
    <t>Kết nối với sân bay Chu Lai</t>
  </si>
  <si>
    <t>xem lại có nên k vì có đg bờ bắc trà khúc đi hoàng sa đến tịnh phong đang đề xuất</t>
  </si>
  <si>
    <t>Bảo tàng và Thư viện tổng hợp tỉnh</t>
  </si>
  <si>
    <t>Chiều dài tuyến khoảng 24km (QL1 từ Km1101+320-Km1125)</t>
  </si>
  <si>
    <t>Tổng trung ương</t>
  </si>
  <si>
    <t xml:space="preserve">TMĐT NSĐP đc chuyển tiếp  </t>
  </si>
  <si>
    <t>phải cắt</t>
  </si>
  <si>
    <t>dương là k cắt</t>
  </si>
  <si>
    <t>Đối ứng vốn BCA</t>
  </si>
  <si>
    <t>Đối ứng vốn BQP</t>
  </si>
  <si>
    <t>Chuyển đổi số cho hệ thống thông tin cơ sở, thông tin đối ngoại tỉnh Quảng Ngãi</t>
  </si>
  <si>
    <t>Đảm bảo an toàn, an ninh thông tin mạng các cơ quan nhà nước tỉnh Quảng Ngãi</t>
  </si>
  <si>
    <t>Xây dựng Kho dữ liệu dùng chung và Hệ sinh thái dữ liệu mở trên cơ sở các Kho dữ liệu hiện có, Cổng dữ liệu mở phục vụ chuyển đổi số tỉnh</t>
  </si>
  <si>
    <t>Trung tâm cai nghiện ma túy tỉnh Quảng Ngãi</t>
  </si>
  <si>
    <t>Công nghệ thông tin</t>
  </si>
  <si>
    <t>Lệch so vơi phân bổ</t>
  </si>
  <si>
    <t>Nhóm dự án (Luật sửa đổi)</t>
  </si>
  <si>
    <t xml:space="preserve">Xây dựng mới </t>
  </si>
  <si>
    <t>Cấp nước, thoát nước</t>
  </si>
  <si>
    <t>Hạ tầng kỹ thuật đô thị</t>
  </si>
  <si>
    <t>Lĩnh vực xã hội</t>
  </si>
  <si>
    <t>Hệ thống thiết bị hậu kỳ và tiền kỳ sản xuất chương trình chuẩn HD/4K</t>
  </si>
  <si>
    <t>Phần mềm chuyển đổi số cho quy trình quản lý, sản xuất phát thanh - truyền hình và ứng dụng app OTT</t>
  </si>
  <si>
    <t>Đầu tư xây dựng Nhà hát truyền hình</t>
  </si>
  <si>
    <t>Thiết bị sản xuất cho cho Trường quay lớn</t>
  </si>
  <si>
    <t xml:space="preserve">Thiết bị phục vụ phim trường đa năng, thực tế ảo </t>
  </si>
  <si>
    <t>Phát thanh, truyền hình, thông tấn</t>
  </si>
  <si>
    <t>Đài Phát thanh và Truyền hình tỉnh</t>
  </si>
  <si>
    <t xml:space="preserve">Phòng thí nghiệm Cơ - Điện tử phục vụ đào tạo và nghiên cứu </t>
  </si>
  <si>
    <t>Xây dựng vườn ươm doanh nghiệp đổi mới sáng tạo, không gian làm việc chung hỗ trợ khởi nghiệp sáng tạo</t>
  </si>
  <si>
    <t>Lĩnh vực Giáo dục và đào tạo</t>
  </si>
  <si>
    <t>Tổng diện tích sàn là 2.109,5m2 được bố trí theo hình thức không gian mở,.</t>
  </si>
  <si>
    <t>Phòng thí nghiệm Đo lường - Cảm biến, Phòng thí nghiệm PLC và Vi điều khiển, Phòng thí nghiệm Sản xuất tự động,…</t>
  </si>
  <si>
    <t>Cơ sở vật chất, kỹ thuật và dịch vụ phục vụ ươm tạo ý tưởng, doanh nghiệp. 01 không gian sáng tạo, 01 khu vực hoạt động, sinh hoạt chung của các doanh nghiệp khởi nghiệp</t>
  </si>
  <si>
    <t>2028-2031</t>
  </si>
  <si>
    <t>Bình Sơn, Sơn Tịnh, Tư Nghĩa, Nghĩa Hành, Mộ Đức, Đức Phổ và TP Quảng Ngãi</t>
  </si>
  <si>
    <t>2029-2031</t>
  </si>
  <si>
    <t>Đóng mới tàu Kiểm ngư (nhằm tăng cường năng lực cho lực lượng tuần tra bảo vệ NLTS)</t>
  </si>
  <si>
    <t>Cải tạo, nâng cấp cơ sở hạ tầng, kiên cố hóa hệ thống thủy lợi đồng muối Sa Huỳnh</t>
  </si>
  <si>
    <t xml:space="preserve"> Đường cấp III đồng bằng, với Bnền =12m và Bmặt =11m, trong có cầu BTCT DƯL rộng 12m</t>
  </si>
  <si>
    <t>Hoàn thiện toàn bộ tuyến đường ven biển</t>
  </si>
  <si>
    <t>L= 1.400m</t>
  </si>
  <si>
    <t xml:space="preserve">- Công suất cấp nước : 3.500m3/ngđ.
</t>
  </si>
  <si>
    <t>L= 760m</t>
  </si>
  <si>
    <t>L =  6000m</t>
  </si>
  <si>
    <t>Phụ biểu</t>
  </si>
  <si>
    <t>Sửa chữa, nâng cấp 12 hồ chứa nước bảo đảm an toàn đập, an ninh nguồn nước (Long Đình, Suối Khoai, Bình Nam, Chuối, Bà Mau, Trung Tín , Đội 14,  Hóc Tùng, Bà Bông, Hố Môn, Hóc Lùng, Sau Ao)</t>
  </si>
  <si>
    <t>BQLDA ĐTXD các CTGT tỉnh</t>
  </si>
  <si>
    <t>Khôi phục các công trình thủy lợi, hệ thống tưới, cấp nước sinh hoạt huyện Ba Tơ, Trà Bồng, Sơn Hà và Khắc phục sạt lở bờ sông Trà Bồng và sông Giang đoạn qua huyện Trà Bồng (bao gồm các hạng mục: Sửa chữa nâng cấp Đập; xây dựng các tuyến kênh; đường thi công kết hợp quản lý; xây dựng kè chống sạt lở bờ sông;  và xây dựng tuyến ống. khu xử lý nước và các tuyến kênh nội đồng)</t>
  </si>
  <si>
    <t>Khái toán TMĐT</t>
  </si>
  <si>
    <t>Tuyến này nằm trong dự án Nâng cấp, mở rộng hệ thống hạ tầng giao thông trên địa bàn KKT Dung Quất (350 tỷ đồng) đang thực hiện giai đoạn 2021-2025</t>
  </si>
  <si>
    <t>Xem xét lại sự cần thiết vì khu vực này đã có tuyến đường bờ Bắc Sông Trà Khúc đi Hoàng Sa - Dốc Sỏi</t>
  </si>
  <si>
    <t>Trùng với dự án Đường trục Bắc Tịnh Phong – Bình Châu (trục N5) của Ban Dung Quất đang đề xuất (2.900 tỷ đồng).</t>
  </si>
  <si>
    <t>Ý kiến của Sở Kế hoạch và Đầu tư</t>
  </si>
  <si>
    <t>Giai đoạn 2021-2025 đã đầu tư một số hạng mục của các trường này nên gai đoạn 2026-2030 để ưu tiên cho các trường chưa được đầu tư.</t>
  </si>
  <si>
    <t xml:space="preserve">Đê, kè chắn cát, giảm sóng, công trình hạ tầng kỹ thuật và nạo vét Khu neo đậu tránh trú bão cảng cá Sa Huỳnh (giai đoạn 2)  </t>
  </si>
  <si>
    <t>Mỗi năm</t>
  </si>
  <si>
    <t>02 năm cuối</t>
  </si>
  <si>
    <t>KẾ HOẠCH ĐẦU TƯ CÔNG GIAI ĐOẠN 2021 - 2025
GIAI ĐOẠN 2021 - 2025</t>
  </si>
  <si>
    <t>Dự kiến nguồn XDCB TT 2024-2025</t>
  </si>
  <si>
    <t>Nguồn vốn Xây dựng cơ bản tập trung của tỉnh</t>
  </si>
  <si>
    <t>Vốn phân cấp (20%)</t>
  </si>
  <si>
    <t>Phân cấp theo Nghị quyết số 19/2020/NQ-HĐND ngày 10/12/2020 của HĐND tỉnh</t>
  </si>
  <si>
    <t>Đơn vị: Triệu đồng</t>
  </si>
  <si>
    <t>Địa phương</t>
  </si>
  <si>
    <t>Tỷ lệ (%)</t>
  </si>
  <si>
    <t>Kế hoạch trung hạn giai đoạn 2021 - 2025</t>
  </si>
  <si>
    <t>Điều chỉnh (tăng/giảm)</t>
  </si>
  <si>
    <t>Kế hoạch trung hạn giai đoạn 2021 - 2025 sau điều chỉnh</t>
  </si>
  <si>
    <t>Lũy kế kế hoạch trung hạn đã giao hàng năm từ 2021-2024</t>
  </si>
  <si>
    <t>Trung hạn đã giao 2021-2025</t>
  </si>
  <si>
    <t>Trung hạn còn lại chưa giao hằng năm</t>
  </si>
  <si>
    <t>Dự kiến vốn phân cấp 2024-2025</t>
  </si>
  <si>
    <t xml:space="preserve">Giảm </t>
  </si>
  <si>
    <t>Năm 2025</t>
  </si>
  <si>
    <t>Huyện Sơn Tịnh</t>
  </si>
  <si>
    <t>Huyện Ba Tơ</t>
  </si>
  <si>
    <r>
      <rPr>
        <b/>
        <sz val="14"/>
        <rFont val="Times New Roman"/>
        <family val="1"/>
      </rPr>
      <t>Ghi chú:</t>
    </r>
    <r>
      <rPr>
        <sz val="14"/>
        <rFont val="Times New Roman"/>
        <family val="1"/>
      </rPr>
      <t xml:space="preserve"> Các địa phương bố trí tối thiểu 30% vốn phân cấp thực hiện Chương trình MTQG Xây dựng Nông thôn mới và 20% cho ngành giáo dục - đào tạo theo đúng Nghị quyết số 19/2020/NQ-HĐND ngày 10/12/2020 của HĐND tỉnh.</t>
    </r>
  </si>
  <si>
    <t>B1</t>
  </si>
  <si>
    <t>B2</t>
  </si>
  <si>
    <t>2026-2038</t>
  </si>
  <si>
    <t>2027-2039</t>
  </si>
  <si>
    <t>giai đoạn 2</t>
  </si>
  <si>
    <t>CT</t>
  </si>
  <si>
    <t>ODA</t>
  </si>
  <si>
    <t>Khu văn hóa Thiên ấn, thành phố Quảng Ngãi</t>
  </si>
  <si>
    <t>Danh mục dự án</t>
  </si>
  <si>
    <t>Thời
 gian
 bắt
 đầu</t>
  </si>
  <si>
    <t>Thời
 gian 
kết 
thúc</t>
  </si>
  <si>
    <t>Quyết định đầu tư/ Quyết định chủ trương đầu tư</t>
  </si>
  <si>
    <t>Đề xuất nhu cầu kế hoạch trung hạn giai đoạn 2026-2030</t>
  </si>
  <si>
    <t xml:space="preserve">Số 
quyết định; 
ngày,
 tháng,
 năm </t>
  </si>
  <si>
    <t>TMĐT</t>
  </si>
  <si>
    <t>Tổng số
 (tất cả các
 nguồn vốn)</t>
  </si>
  <si>
    <t xml:space="preserve">Trong đó: </t>
  </si>
  <si>
    <t>Vốn đối ứng</t>
  </si>
  <si>
    <t>Vốn nước ngoài (theo Hiệp định)</t>
  </si>
  <si>
    <t xml:space="preserve">Tổng số </t>
  </si>
  <si>
    <t>Tính bằng nguyên tệ</t>
  </si>
  <si>
    <t>Quy đổi ra tiền Việt</t>
  </si>
  <si>
    <t>Ngân sách trung ương</t>
  </si>
  <si>
    <t>Ngân sách tỉnh</t>
  </si>
  <si>
    <t>NSĐP</t>
  </si>
  <si>
    <t>Đưa vào cân đối NSTW</t>
  </si>
  <si>
    <t>Viện trợ KHL</t>
  </si>
  <si>
    <t>Vay lại</t>
  </si>
  <si>
    <t>Phụ lục 3</t>
  </si>
  <si>
    <t>Sở Y tế</t>
  </si>
  <si>
    <t>Lĩnh vực Y tế</t>
  </si>
  <si>
    <t>Mua sắm thiết bị y tế và thiết bị văn
phòng</t>
  </si>
  <si>
    <t>Dùng kinh phí sự nghiệp y tế</t>
  </si>
  <si>
    <t>Nguồn vốn: Vốn nước ngoài (ODA)</t>
  </si>
  <si>
    <t>(Kèm theo Công văn số 1646/SKHĐT-TH ngày 09/9/2024 của Sở Kế hoạch và Đầu tư)</t>
  </si>
  <si>
    <t>DỰ KIẾN KẾ HOẠCH ĐẦU TƯ CÔNG TRUNG HẠN GIAI ĐOẠN 2026-2030 NGUỒN VỐN NGÂN SÁCH TRUNG ƯƠNG (VỐN NƯỚC NGOÀI)</t>
  </si>
  <si>
    <t>DỰ KIẾN KẾ HOẠCH ĐẦU TƯ CÔNG TRUNG HẠN GIAI ĐOẠN 2026-2030 NGUỒN VỐN NGÂN SÁCH ĐỊA PHƯƠNG</t>
  </si>
  <si>
    <t>Vướng mặt bằng, khó triển khai</t>
  </si>
  <si>
    <t>DANH MỤC DỰ ÁN ĐĂNG KÝ KHỞI CÔNG MỚI GIAI ĐOẠN 2026-2030 KHÔNG LỰA CHỌN</t>
  </si>
  <si>
    <t>Sở Nông nghiệp và PTNT không đề xuất</t>
  </si>
  <si>
    <t>Xem xét tính cấp thiết</t>
  </si>
  <si>
    <t>Xem xét xin nguồn TW hỗ trợ hàng năm</t>
  </si>
  <si>
    <t>Xem xét nguồn chi thường xuyên</t>
  </si>
  <si>
    <t>Danh mục không ưu tiên của đơn vị</t>
  </si>
  <si>
    <t>Tính hiệu quả đầu tư</t>
  </si>
  <si>
    <t>Các trường này đã cải tạo, đầu tư một số hạng mục trong giai đoạn 2021-2025 nên giai đoạn 2026-2030 cần ưu tiên cho các trường chưa được cải tạo, đầu tư</t>
  </si>
  <si>
    <t>Xem xét từ nguồn vốn chi sự nghiệp y tế</t>
  </si>
  <si>
    <t>Nhu cầu đầu tư phát triển của huyện lớn</t>
  </si>
  <si>
    <t>(Kèm theo Công văn số         /….. ngày       /.../202 của …................)</t>
  </si>
  <si>
    <t xml:space="preserve">Dự án chuyển tiếp </t>
  </si>
  <si>
    <t>Luỹ kế vốn đã bố trí từ đầu dự án đến hết kế hoạch vốn năm 2025</t>
  </si>
  <si>
    <t>Danh mục dự án chuyển tiếp sang giai đoạn 2026-2030</t>
  </si>
  <si>
    <t>Lũy kế vốn thực hiện đã bố trí từ đầu dự án đến hết năm 2025</t>
  </si>
  <si>
    <t>…</t>
  </si>
  <si>
    <t>(Kèm theo Công văn số         /UBND-KTTH ngày       /7/2025 của UBND tỉnh Quảng Ngãi)</t>
  </si>
  <si>
    <t>Tên dự án</t>
  </si>
  <si>
    <t>Chủ đầu tư</t>
  </si>
  <si>
    <t xml:space="preserve">Thời gian thực hiện </t>
  </si>
  <si>
    <t>Quyết định chủ trương đầu tư</t>
  </si>
  <si>
    <t>Số quyết định</t>
  </si>
  <si>
    <t>Tổng số (tất cả các nguồn vốn)</t>
  </si>
  <si>
    <t>thôn Đăk Pung</t>
  </si>
  <si>
    <t xml:space="preserve">Phụ lục </t>
  </si>
  <si>
    <t>PHÂN BỔ CHI TIẾT KẾ HOẠCH VỐN ĐẦU TƯ CÔNG NĂM 2025 VỀ TRƯỚC KÉO DÀI SANG NĂM 2026 THỰC HIỆN CHƯƠNG TRÌNH MỤC TIÊU QUỐC GIA PHÁT TRIỂN KINH TẾ XÃ HỘI VÙNG ĐỒNG BÀO DÂN TỘC THIỂU SỐ VÀ MIỀN NÚI XÃ NGỌK TỤ</t>
  </si>
  <si>
    <t xml:space="preserve"> Đường đi khu sản xuất thôn Đăk Chờ (đoạn qua suối Đăk Sai)</t>
  </si>
  <si>
    <t>Nguồn ngân sách trung ương</t>
  </si>
  <si>
    <t>Dự án 4: Đầu tư cơ sở hạ tầng thiết yếu, phục vụ sản xuất, đời sống trong vùng đồng bào dân tộc thiểu số và miền núi và các đơn vị sự nghiệp công của lĩnh vực dân tộc</t>
  </si>
  <si>
    <t>Trung tâm cung ứng dịch vụ công xã</t>
  </si>
  <si>
    <t>Thôn Đăk Chờ</t>
  </si>
  <si>
    <t>2026-2026</t>
  </si>
  <si>
    <t>155-16/9/2026</t>
  </si>
  <si>
    <t>Kế hoạch vốn đầu tư công năm 2025 về trước  kéo dài sang năm 2026</t>
  </si>
  <si>
    <t xml:space="preserve">Đường đi khu sản xuất thôn Đăk Pung (đoạn dốc đá) </t>
  </si>
  <si>
    <t xml:space="preserve">Đường đi vào nghĩa địa thôn Đăk Chờ </t>
  </si>
  <si>
    <t>156-16/9/2026</t>
  </si>
  <si>
    <t>157-16/9/2026</t>
  </si>
  <si>
    <t>Kế hoạch đầu tư trung hạn
giai đoạn 2021-2025</t>
  </si>
  <si>
    <t>(Kèm theo Nghị quyết số:         /NQ-HĐND ngày        /      /2026 của Hội đồng nhân dân xã Ngọk Tụ)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</si>
</sst>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3">
    <numFmt numFmtId="41" formatCode="_-* #,##0\ _₫_-;\-* #,##0\ _₫_-;_-* &quot;-&quot;\ _₫_-;_-@_-"/>
    <numFmt numFmtId="44" formatCode="_-* #,##0.00\ &quot;₫&quot;_-;\-* #,##0.00\ &quot;₫&quot;_-;_-* &quot;-&quot;??\ &quot;₫&quot;_-;_-@_-"/>
    <numFmt numFmtId="43" formatCode="_-* #,##0.00\ _₫_-;\-* #,##0.00\ _₫_-;_-* &quot;-&quot;??\ _₫_-;_-@_-"/>
    <numFmt numFmtId="164" formatCode="&quot;$&quot;#,##0_);\(&quot;$&quot;#,##0\)"/>
    <numFmt numFmtId="165" formatCode="&quot;$&quot;#,##0_);[Red]\(&quot;$&quot;#,##0\)"/>
    <numFmt numFmtId="166" formatCode="_(&quot;$&quot;* #,##0_);_(&quot;$&quot;* \(#,##0\);_(&quot;$&quot;* &quot;-&quot;_);_(@_)"/>
    <numFmt numFmtId="167" formatCode="_(* #,##0_);_(* \(#,##0\);_(* &quot;-&quot;_);_(@_)"/>
    <numFmt numFmtId="168" formatCode="_(&quot;$&quot;* #,##0.00_);_(&quot;$&quot;* \(#,##0.00\);_(&quot;$&quot;* &quot;-&quot;??_);_(@_)"/>
    <numFmt numFmtId="169" formatCode="_(* #,##0.00_);_(* \(#,##0.00\);_(* &quot;-&quot;??_);_(@_)"/>
    <numFmt numFmtId="170" formatCode="_-* #,##0_-;\-* #,##0_-;_-* &quot;-&quot;_-;_-@_-"/>
    <numFmt numFmtId="171" formatCode="_-* #,##0.00_-;\-* #,##0.00_-;_-* &quot;-&quot;??_-;_-@_-"/>
    <numFmt numFmtId="172" formatCode=";;;"/>
    <numFmt numFmtId="173" formatCode="_-* #,##0_-;\-* #,##0_-;_-* &quot;-&quot;??_-;_-@_-"/>
    <numFmt numFmtId="174" formatCode="#,##0.0"/>
    <numFmt numFmtId="175" formatCode="_(* #,##0_);_(* \(#,##0\);_(* &quot;-&quot;??_);_(@_)"/>
    <numFmt numFmtId="176" formatCode="#,##0.000"/>
    <numFmt numFmtId="177" formatCode="0.0%"/>
    <numFmt numFmtId="178" formatCode="_(* #,##0.0_);_(* \(#,##0.0\);_(* &quot;-&quot;??_);_(@_)"/>
    <numFmt numFmtId="179" formatCode="_-* #,##0.0000_-;\-* #,##0.0000_-;_-* &quot;-&quot;??_-;_-@_-"/>
    <numFmt numFmtId="180" formatCode="_(* #,##0.00000_);_(* \(#,##0.00000\);_(* &quot;-&quot;??_);_(@_)"/>
    <numFmt numFmtId="181" formatCode="_(* #,##0.0000_);_(* \(#,##0.0000\);_(* &quot;-&quot;??_);_(@_)"/>
    <numFmt numFmtId="182" formatCode="#,##0_ ;[Red]\-#,##0\ "/>
    <numFmt numFmtId="183" formatCode="_(* #,##0.000_);_(* \(#,##0.000\);_(* &quot;-&quot;??_);_(@_)"/>
    <numFmt numFmtId="184" formatCode="_-* #,##0.000000_-;\-* #,##0.000000_-;_-* &quot;-&quot;??_-;_-@_-"/>
    <numFmt numFmtId="185" formatCode="_-&quot;ñ&quot;* #,##0_-;\-&quot;ñ&quot;* #,##0_-;_-&quot;ñ&quot;* &quot;-&quot;_-;_-@_-"/>
    <numFmt numFmtId="186" formatCode="##.##%"/>
    <numFmt numFmtId="187" formatCode="General_)"/>
    <numFmt numFmtId="188" formatCode="&quot;\&quot;#,##0.00;[Red]&quot;\&quot;&quot;\&quot;&quot;\&quot;&quot;\&quot;&quot;\&quot;&quot;\&quot;\-#,##0.00"/>
    <numFmt numFmtId="189" formatCode="&quot;\&quot;#,##0;[Red]&quot;\&quot;&quot;\&quot;\-#,##0"/>
    <numFmt numFmtId="190" formatCode="#,##0\ &quot;F&quot;;\-#,##0\ &quot;F&quot;"/>
    <numFmt numFmtId="191" formatCode="#.##00"/>
    <numFmt numFmtId="192" formatCode="_-* #,##0\ _F_-;\-* #,##0\ _F_-;_-* &quot;- &quot;_F_-;_-@_-"/>
    <numFmt numFmtId="193" formatCode="&quot;$&quot;#,##0;[Red]\-&quot;$&quot;#,##0"/>
    <numFmt numFmtId="194" formatCode="_-\$* #,##0_-;&quot;-$&quot;* #,##0_-;_-\$* \-_-;_-@_-"/>
    <numFmt numFmtId="195" formatCode="_ \$* #,##0_ ;_ \$* \-#,##0_ ;_ \$* \-_ ;_ @_ "/>
    <numFmt numFmtId="196" formatCode="_-* #,##0\ _F_-;\-* #,##0\ _F_-;_-* &quot;-&quot;\ _F_-;_-@_-"/>
    <numFmt numFmtId="197" formatCode="_ * #,##0_)\ &quot;$&quot;_ ;_ * \(#,##0\)\ &quot;$&quot;_ ;_ * &quot;-&quot;_)\ &quot;$&quot;_ ;_ @_ "/>
    <numFmt numFmtId="198" formatCode="_-&quot;$&quot;* #,##0_-;\-&quot;$&quot;* #,##0_-;_-&quot;$&quot;* &quot;-&quot;_-;_-@_-"/>
    <numFmt numFmtId="199" formatCode="_ &quot;$&quot;* #,##0_ ;_ &quot;$&quot;* \-#,##0_ ;_ &quot;$&quot;* &quot;-&quot;_ ;_ @_ "/>
    <numFmt numFmtId="200" formatCode="_-\ñ* #,##0_-;&quot;-ñ&quot;* #,##0_-;_-\ñ* \-_-;_-@_-"/>
    <numFmt numFmtId="201" formatCode="_-* #,##0.00_-;\-* #,##0.00_-;_-* \-??_-;_-@_-"/>
    <numFmt numFmtId="202" formatCode="_ * #,##0.00_)\ _$_ ;_ * \(#,##0.00\)\ _$_ ;_ * &quot;-&quot;??_)\ _$_ ;_ @_ "/>
    <numFmt numFmtId="203" formatCode="_-* #,##0.00\ _F_-;\-* #,##0.00\ _F_-;_-* &quot;-&quot;??\ _F_-;_-@_-"/>
    <numFmt numFmtId="204" formatCode="_-* #,##0.00\ _F_-;\-* #,##0.00\ _F_-;_-* \-??\ _F_-;_-@_-"/>
    <numFmt numFmtId="205" formatCode="_-* #,##0.00\ _ñ_-;\-* #,##0.00\ _ñ_-;_-* &quot;-&quot;??\ _ñ_-;_-@_-"/>
    <numFmt numFmtId="206" formatCode="_-* #,##0.00\ _ñ_-;\-* #,##0.00\ _ñ_-;_-* \-??\ _ñ_-;_-@_-"/>
    <numFmt numFmtId="207" formatCode="_-* #,##0.00\ _ñ_-;_-* #,##0.00\ _ñ\-;_-* &quot;-&quot;??\ _ñ_-;_-@_-"/>
    <numFmt numFmtId="208" formatCode="_-* #,##0_-;\-* #,##0_-;_-* \-_-;_-@_-"/>
    <numFmt numFmtId="209" formatCode="_-* #,##0\ &quot;F&quot;_-;\-* #,##0\ &quot;F&quot;_-;_-* &quot;-&quot;\ &quot;F&quot;_-;_-@_-"/>
    <numFmt numFmtId="210" formatCode="_(&quot;$&quot;\ * #,##0_);_(&quot;$&quot;\ * \(#,##0\);_(&quot;$&quot;\ * &quot;-&quot;_);_(@_)"/>
    <numFmt numFmtId="211" formatCode="_-* #,##0\ &quot;ñ&quot;_-;\-* #,##0\ &quot;ñ&quot;_-;_-* &quot;-&quot;\ &quot;ñ&quot;_-;_-@_-"/>
    <numFmt numFmtId="212" formatCode="_-* #,##0&quot; ñ&quot;_-;\-* #,##0&quot; ñ&quot;_-;_-* &quot;- ñ&quot;_-;_-@_-"/>
    <numFmt numFmtId="213" formatCode="_ * #,##0_)\ _$_ ;_ * \(#,##0\)\ _$_ ;_ * &quot;-&quot;_)\ _$_ ;_ @_ "/>
    <numFmt numFmtId="214" formatCode="_-* #,##0\ _ñ_-;\-* #,##0\ _ñ_-;_-* &quot;-&quot;\ _ñ_-;_-@_-"/>
    <numFmt numFmtId="215" formatCode="_-* #,##0\ _ñ_-;\-* #,##0\ _ñ_-;_-* &quot;- &quot;_ñ_-;_-@_-"/>
    <numFmt numFmtId="216" formatCode="_-* #,##0\ _ñ_-;_-* #,##0\ _ñ\-;_-* &quot;-&quot;\ _ñ_-;_-@_-"/>
    <numFmt numFmtId="217" formatCode="_ &quot;\&quot;* #,##0_ ;_ &quot;\&quot;* \-#,##0_ ;_ &quot;\&quot;* &quot;-&quot;_ ;_ @_ "/>
    <numFmt numFmtId="218" formatCode="&quot;\&quot;#,##0.00;[Red]&quot;\&quot;\-#,##0.00"/>
    <numFmt numFmtId="219" formatCode="&quot;\&quot;#,##0;[Red]&quot;\&quot;\-#,##0"/>
    <numFmt numFmtId="220" formatCode="_ * #,##0_)\ &quot;F&quot;_ ;_ * \(#,##0\)\ &quot;F&quot;_ ;_ * &quot;-&quot;_)\ &quot;F&quot;_ ;_ @_ "/>
    <numFmt numFmtId="221" formatCode="&quot;£&quot;#,##0.00;\-&quot;£&quot;#,##0.00"/>
    <numFmt numFmtId="222" formatCode="_-&quot;F&quot;* #,##0_-;\-&quot;F&quot;* #,##0_-;_-&quot;F&quot;* &quot;-&quot;_-;_-@_-"/>
    <numFmt numFmtId="223" formatCode="_ * #,##0_ ;_ * \-#,##0_ ;_ * &quot;-&quot;_ ;_ @_ "/>
    <numFmt numFmtId="224" formatCode="_ * #,##0.00_)&quot;$&quot;_ ;_ * \(#,##0.00\)&quot;$&quot;_ ;_ * &quot;-&quot;??_)&quot;$&quot;_ ;_ @_ "/>
    <numFmt numFmtId="225" formatCode="_ * #,##0.00_ ;_ * \-#,##0.00_ ;_ * &quot;-&quot;??_ ;_ @_ "/>
    <numFmt numFmtId="226" formatCode="_ * #,##0.0_)_$_ ;_ * \(#,##0.0\)_$_ ;_ * &quot;-&quot;??_)_$_ ;_ @_ "/>
    <numFmt numFmtId="227" formatCode=";;"/>
    <numFmt numFmtId="228" formatCode="#,##0.0_);\(#,##0.0\)"/>
    <numFmt numFmtId="229" formatCode="&quot;$&quot;#,##0.00"/>
    <numFmt numFmtId="230" formatCode="_ * #,##0.00_)&quot;£&quot;_ ;_ * \(#,##0.00\)&quot;£&quot;_ ;_ * &quot;-&quot;??_)&quot;£&quot;_ ;_ @_ "/>
    <numFmt numFmtId="231" formatCode="_-&quot;$&quot;* #,##0.00_-;\-&quot;$&quot;* #,##0.00_-;_-&quot;$&quot;* &quot;-&quot;??_-;_-@_-"/>
    <numFmt numFmtId="232" formatCode="0.0%;\(0.0%\)"/>
    <numFmt numFmtId="233" formatCode="##,###.##"/>
    <numFmt numFmtId="234" formatCode="_-* #,##0.00\ &quot;F&quot;_-;\-* #,##0.00\ &quot;F&quot;_-;_-* &quot;-&quot;??\ &quot;F&quot;_-;_-@_-"/>
    <numFmt numFmtId="235" formatCode="0.000_)"/>
    <numFmt numFmtId="236" formatCode="###\ ###\ ###"/>
    <numFmt numFmtId="237" formatCode="#,###"/>
    <numFmt numFmtId="238" formatCode="&quot;Rp&quot;#,##0_);[Red]\(&quot;Rp&quot;#,##0\)"/>
    <numFmt numFmtId="239" formatCode="#,##0.0000;[Red]#,##0.0000"/>
    <numFmt numFmtId="240" formatCode="#,##0;[Red]#,##0"/>
    <numFmt numFmtId="241" formatCode="0.000"/>
    <numFmt numFmtId="242" formatCode="_-* #,##0.00\ _V_N_D_-;\-* #,##0.00\ _V_N_D_-;_-* &quot;-&quot;??\ _V_N_D_-;_-@_-"/>
    <numFmt numFmtId="243" formatCode="0.000%"/>
    <numFmt numFmtId="244" formatCode="_-* #.##0\ _₫_-;\-* #.##0\ _₫_-;_-* &quot;-&quot;??\ _₫_-;_-@_-"/>
    <numFmt numFmtId="245" formatCode="&quot;True&quot;;&quot;True&quot;;&quot;False&quot;"/>
    <numFmt numFmtId="246" formatCode="_-* #,##0.00\ _д_е_н_-;\-* #,##0.00\ _д_е_н_-;_-* &quot;-&quot;??\ _д_е_н_-;_-@_-"/>
    <numFmt numFmtId="247" formatCode="#,##0.00;[Red]#,##0.00"/>
    <numFmt numFmtId="248" formatCode="&quot;Dong&quot;#,##0.00\ ;[Red]&quot;(Dong&quot;#,##0.00\)"/>
    <numFmt numFmtId="249" formatCode="* #,##0;* \-\ #,##0;* &quot;-&quot;??;@"/>
    <numFmt numFmtId="250" formatCode="#\ ###\ ###"/>
    <numFmt numFmtId="251" formatCode="#,##0;\(#,##0\)"/>
    <numFmt numFmtId="252" formatCode="_ &quot;R&quot;\ * #,##0_ ;_ &quot;R&quot;\ * \-#,##0_ ;_ &quot;R&quot;\ * &quot;-&quot;_ ;_ @_ "/>
    <numFmt numFmtId="253" formatCode="##,##0%"/>
    <numFmt numFmtId="254" formatCode="#,###%"/>
    <numFmt numFmtId="255" formatCode="##.##"/>
    <numFmt numFmtId="256" formatCode="###,###"/>
    <numFmt numFmtId="257" formatCode="###.###"/>
    <numFmt numFmtId="258" formatCode="##,###.####"/>
    <numFmt numFmtId="259" formatCode="_ * #,##0.00_ ;_ * &quot;\&quot;&quot;\&quot;&quot;\&quot;&quot;\&quot;&quot;\&quot;&quot;\&quot;\-#,##0.00_ ;_ * &quot;-&quot;??_ ;_ @_ "/>
    <numFmt numFmtId="260" formatCode="&quot;\&quot;#,##0.00;&quot;\&quot;&quot;\&quot;&quot;\&quot;&quot;\&quot;&quot;\&quot;&quot;\&quot;&quot;\&quot;&quot;\&quot;\-#,##0.00"/>
    <numFmt numFmtId="261" formatCode="_(* #,##0_);_(* \(#,##0\);_(* &quot;-&quot;&quot;?&quot;&quot;?&quot;_);_(@_)"/>
    <numFmt numFmtId="262" formatCode="_ * #,##0_ ;_ * &quot;\&quot;&quot;\&quot;&quot;\&quot;&quot;\&quot;&quot;\&quot;&quot;\&quot;\-#,##0_ ;_ * &quot;-&quot;_ ;_ @_ "/>
    <numFmt numFmtId="263" formatCode="\$#,##0\ ;\(\$#,##0\)"/>
    <numFmt numFmtId="264" formatCode="_ * #,##0_ ;_ * &quot;\&quot;&quot;\&quot;&quot;\&quot;&quot;\&quot;&quot;\&quot;&quot;\&quot;&quot;\&quot;\-#,##0_ ;_ * &quot;-&quot;_ ;_ @_ "/>
    <numFmt numFmtId="265" formatCode="#\ ###\ ##0.0"/>
    <numFmt numFmtId="266" formatCode="\t0.00%"/>
    <numFmt numFmtId="267" formatCode="#0.##"/>
    <numFmt numFmtId="268" formatCode="##,##0.##"/>
    <numFmt numFmtId="269" formatCode="_(\§\g\ #,##0_);_(\§\g\ \(#,##0\);_(\§\g\ &quot;-&quot;??_);_(@_)"/>
    <numFmt numFmtId="270" formatCode="_(\§\g\ #,##0_);_(\§\g\ \(#,##0\);_(\§\g\ &quot;-&quot;_);_(@_)"/>
    <numFmt numFmtId="271" formatCode="#\ ###\ ###\ .00"/>
    <numFmt numFmtId="272" formatCode="\t#\ ??/??"/>
    <numFmt numFmtId="273" formatCode="\§\g#,##0_);\(\§\g#,##0\)"/>
    <numFmt numFmtId="274" formatCode="_-&quot;VND&quot;* #,##0_-;\-&quot;VND&quot;* #,##0_-;_-&quot;VND&quot;* &quot;-&quot;_-;_-@_-"/>
    <numFmt numFmtId="275" formatCode="_(&quot;Rp&quot;* #,##0.00_);_(&quot;Rp&quot;* \(#,##0.00\);_(&quot;Rp&quot;* &quot;-&quot;??_);_(@_)"/>
    <numFmt numFmtId="276" formatCode="#,##0.00\ &quot;FB&quot;;[Red]\-#,##0.00\ &quot;FB&quot;"/>
    <numFmt numFmtId="277" formatCode="#,##0\ &quot;$&quot;;\-#,##0\ &quot;$&quot;"/>
    <numFmt numFmtId="278" formatCode="&quot;$&quot;#,##0;\-&quot;$&quot;#,##0"/>
    <numFmt numFmtId="279" formatCode="_-* #,##0\ _F_B_-;\-* #,##0\ _F_B_-;_-* &quot;-&quot;\ _F_B_-;_-@_-"/>
    <numFmt numFmtId="280" formatCode="#."/>
    <numFmt numFmtId="281" formatCode="#.00"/>
    <numFmt numFmtId="282" formatCode="_ * #,##0.00_)_d_ ;_ * \(#,##0.00\)_d_ ;_ * &quot;-&quot;??_)_d_ ;_ @_ "/>
    <numFmt numFmtId="283" formatCode="#,##0_);\-#,##0_)"/>
    <numFmt numFmtId="284" formatCode="#,##0\ &quot;Rp&quot;_);\(#,##0\ &quot;Rp&quot;\)"/>
    <numFmt numFmtId="285" formatCode="#,##0\ &quot;$&quot;_);\(#,##0\ &quot;$&quot;\)"/>
    <numFmt numFmtId="286" formatCode="#,###;\-#,###;&quot;&quot;;_(@_)"/>
    <numFmt numFmtId="287" formatCode="_(* #,##0.000000_);_(* \(#,##0.000000\);_(* \-??_);_(@_)"/>
    <numFmt numFmtId="288" formatCode="_-&quot;£&quot;* #,##0_-;\-&quot;£&quot;* #,##0_-;_-&quot;£&quot;* &quot;-&quot;_-;_-@_-"/>
    <numFmt numFmtId="289" formatCode="_-&quot;Rp&quot;* #,##0_-;\-&quot;Rp&quot;* #,##0_-;_-&quot;Rp&quot;* &quot;-&quot;_-;_-@_-"/>
    <numFmt numFmtId="290" formatCode="_-&quot;Rp&quot;* #,##0.00_-;\-&quot;Rp&quot;* #,##0.00_-;_-&quot;Rp&quot;* &quot;-&quot;??_-;_-@_-"/>
    <numFmt numFmtId="291" formatCode="#,##0\ &quot;$&quot;_);[Red]\(#,##0\ &quot;$&quot;\)"/>
    <numFmt numFmtId="292" formatCode="&quot;$&quot;###,0&quot;.&quot;00_);[Red]\(&quot;$&quot;###,0&quot;.&quot;00\)"/>
    <numFmt numFmtId="293" formatCode="&quot;$&quot;#.00"/>
    <numFmt numFmtId="294" formatCode="&quot;\&quot;#,##0;[Red]\-&quot;\&quot;#,##0"/>
    <numFmt numFmtId="295" formatCode="&quot;\&quot;#,##0.00;\-&quot;\&quot;#,##0.00"/>
    <numFmt numFmtId="296" formatCode="&quot;$&quot;\ #,##0;[Red]\-&quot;$&quot;\ #,##0"/>
    <numFmt numFmtId="297" formatCode="&quot;$&quot;\ #,##0.00;[Red]\-&quot;$&quot;\ #,##0.00"/>
    <numFmt numFmtId="298" formatCode="&quot;VND&quot;#,##0_);[Red]\(&quot;VND&quot;#,##0\)"/>
    <numFmt numFmtId="299" formatCode=".\ ##\ ###\ ################################;######################################################################################################################"/>
    <numFmt numFmtId="300" formatCode="#,##0.00_);\-#,##0.00_)"/>
    <numFmt numFmtId="301" formatCode="#,##0.000_);\(#,##0.000\)"/>
    <numFmt numFmtId="302" formatCode="%#.00"/>
    <numFmt numFmtId="303" formatCode="_-&quot;$&quot;\ * #,##0_-;\-&quot;$&quot;\ * #,##0_-;_-&quot;$&quot;\ * &quot;-&quot;_-;_-@_-"/>
    <numFmt numFmtId="304" formatCode="#"/>
    <numFmt numFmtId="305" formatCode="_-&quot;Z$&quot;* #,##0_-;\-&quot;Z$&quot;* #,##0_-;_-&quot;Z$&quot;* &quot;-&quot;_-;_-@_-"/>
    <numFmt numFmtId="306" formatCode="&quot;¡Ì&quot;#,##0;[Red]\-&quot;¡Ì&quot;#,##0"/>
    <numFmt numFmtId="307" formatCode="#,##0.00\ \ "/>
    <numFmt numFmtId="308" formatCode="#,##0.00\ &quot;F&quot;;[Red]\-#,##0.00\ &quot;F&quot;"/>
    <numFmt numFmtId="309" formatCode="#,##0.00&quot; F&quot;;[Red]\-#,##0.00&quot; F&quot;"/>
    <numFmt numFmtId="310" formatCode="&quot;£&quot;#,##0;[Red]\-&quot;£&quot;#,##0"/>
    <numFmt numFmtId="311" formatCode="_-* ###,0&quot;.&quot;00\ _F_B_-;\-* ###,0&quot;.&quot;00\ _F_B_-;_-* &quot;-&quot;??\ _F_B_-;_-@_-"/>
    <numFmt numFmtId="312" formatCode="_ * #,##0_ ;_ * \-#,##0_ ;_ * &quot;-&quot;??_ ;_ @_ "/>
    <numFmt numFmtId="313" formatCode="0.00000"/>
    <numFmt numFmtId="314" formatCode="_(* #.##0.00_);_(* \(#.##0.00\);_(* &quot;-&quot;??_);_(@_)"/>
    <numFmt numFmtId="315" formatCode="0.00000000000E+00;\?"/>
    <numFmt numFmtId="316" formatCode="#,##0.00\ \ \ \ "/>
    <numFmt numFmtId="317" formatCode="_-&quot;£&quot;* #,##0.00_-;\-&quot;£&quot;* #,##0.00_-;_-&quot;£&quot;* &quot;-&quot;??_-;_-@_-"/>
    <numFmt numFmtId="318" formatCode="#,##0\ &quot;F&quot;;[Red]\-#,##0\ &quot;F&quot;"/>
    <numFmt numFmtId="319" formatCode="_ * #.##._ ;_ * \-#.##._ ;_ * &quot;-&quot;??_ ;_ @_ⴆ"/>
    <numFmt numFmtId="320" formatCode="_-* ###,0&quot;.&quot;00_-;\-* ###,0&quot;.&quot;00_-;_-* &quot;-&quot;??_-;_-@_-"/>
    <numFmt numFmtId="321" formatCode="#,##0.00\ "/>
    <numFmt numFmtId="322" formatCode="_-* #,##0\ _F_-;\-* #,##0\ _F_-;_-* &quot;-&quot;??\ _F_-;_-@_-"/>
    <numFmt numFmtId="323" formatCode="_-&quot;$&quot;* ###,0&quot;.&quot;00_-;\-&quot;$&quot;* ###,0&quot;.&quot;00_-;_-&quot;$&quot;* &quot;-&quot;??_-;_-@_-"/>
    <numFmt numFmtId="324" formatCode="0\ \ \ \ "/>
    <numFmt numFmtId="325" formatCode="#,##0.00\ \ \ "/>
    <numFmt numFmtId="326" formatCode="#,##0.00\ &quot;F&quot;;\-#,##0.00\ &quot;F&quot;"/>
    <numFmt numFmtId="327" formatCode="&quot;\&quot;#,##0;&quot;\&quot;&quot;\&quot;&quot;\&quot;&quot;\&quot;&quot;\&quot;&quot;\&quot;&quot;\&quot;\-#,##0"/>
    <numFmt numFmtId="328" formatCode="00000"/>
    <numFmt numFmtId="329" formatCode="0.0"/>
    <numFmt numFmtId="330" formatCode="_-* #,##0\ _₫_-;\-* #,##0\ _₫_-;_-* &quot;-&quot;??\ _₫_-;_-@_-"/>
    <numFmt numFmtId="331" formatCode="#,##0_ ;\-#,##0\ "/>
    <numFmt numFmtId="332" formatCode="_(* #,##0_);_(* \(#,##0\);_(* &quot;-&quot;?_);_(@_)"/>
    <numFmt numFmtId="333" formatCode="_(* #,##0.0_);_(* \(#,##0.0\);_(* &quot;-&quot;?_);_(@_)"/>
  </numFmts>
  <fonts count="296">
    <font>
      <sz val="11"/>
      <color theme="1"/>
      <name val="Calibri"/>
      <family val="2"/>
      <scheme val="minor"/>
    </font>
    <font>
      <b/>
      <i/>
      <sz val="12"/>
      <name val="Times New Roman"/>
      <family val="1"/>
    </font>
    <font>
      <sz val="11"/>
      <name val="Times New Roman"/>
      <family val="1"/>
    </font>
    <font>
      <b/>
      <sz val="16"/>
      <name val="Times New Roman"/>
      <family val="1"/>
    </font>
    <font>
      <sz val="16"/>
      <name val="Times New Roman"/>
      <family val="1"/>
    </font>
    <font>
      <i/>
      <sz val="16"/>
      <name val="Times New Roman"/>
      <family val="1"/>
    </font>
    <font>
      <i/>
      <sz val="14"/>
      <name val="Times New Roman"/>
      <family val="1"/>
    </font>
    <font>
      <b/>
      <sz val="14"/>
      <name val="Times New Roman"/>
      <family val="1"/>
    </font>
    <font>
      <b/>
      <sz val="12"/>
      <name val="Times New Roman"/>
      <family val="1"/>
    </font>
    <font>
      <b/>
      <sz val="11"/>
      <name val="Times New Roman"/>
      <family val="1"/>
    </font>
    <font>
      <sz val="12"/>
      <name val="Times New Roman"/>
      <family val="1"/>
    </font>
    <font>
      <i/>
      <sz val="12"/>
      <name val="Times New Roman"/>
      <family val="1"/>
    </font>
    <font>
      <sz val="11"/>
      <color indexed="8"/>
      <name val="Calibri"/>
      <family val="2"/>
    </font>
    <font>
      <b/>
      <sz val="9"/>
      <color indexed="81"/>
      <name val="Tahoma"/>
      <family val="2"/>
    </font>
    <font>
      <sz val="9"/>
      <color indexed="81"/>
      <name val="Tahoma"/>
      <family val="2"/>
    </font>
    <font>
      <b/>
      <sz val="9"/>
      <color indexed="81"/>
      <name val="Tahoma"/>
      <family val="2"/>
      <charset val="163"/>
    </font>
    <font>
      <sz val="12"/>
      <name val="VNI-Times"/>
    </font>
    <font>
      <sz val="12"/>
      <name val=".VnTime"/>
      <family val="2"/>
    </font>
    <font>
      <sz val="10"/>
      <name val=".VnArial"/>
      <family val="2"/>
    </font>
    <font>
      <sz val="10"/>
      <color indexed="8"/>
      <name val="MS Sans Serif"/>
      <family val="2"/>
    </font>
    <font>
      <sz val="12"/>
      <name val="돋움체"/>
      <family val="3"/>
      <charset val="129"/>
    </font>
    <font>
      <b/>
      <sz val="10"/>
      <name val="SVNtimes new roman"/>
      <family val="2"/>
    </font>
    <font>
      <sz val="12"/>
      <name val="新細明體"/>
      <family val="3"/>
      <charset val="136"/>
    </font>
    <font>
      <sz val="12"/>
      <name val="VNtimes new roman"/>
      <family val="2"/>
    </font>
    <font>
      <sz val="10"/>
      <name val=".VnTime"/>
      <family val="2"/>
    </font>
    <font>
      <sz val="10"/>
      <name val="Arial"/>
      <family val="2"/>
    </font>
    <font>
      <sz val="10"/>
      <name val="Helv"/>
      <family val="2"/>
    </font>
    <font>
      <sz val="10"/>
      <name val="?? ??"/>
      <family val="1"/>
      <charset val="136"/>
    </font>
    <font>
      <sz val="14"/>
      <name val=".VnTime"/>
      <family val="2"/>
    </font>
    <font>
      <sz val="12"/>
      <name val=".VnArial"/>
      <family val="2"/>
    </font>
    <font>
      <sz val="10"/>
      <name val="??"/>
      <family val="3"/>
      <charset val="129"/>
    </font>
    <font>
      <sz val="12"/>
      <name val="????"/>
      <family val="1"/>
      <charset val="136"/>
    </font>
    <font>
      <sz val="10"/>
      <name val="MS Sans Serif"/>
      <family val="2"/>
    </font>
    <font>
      <sz val="12"/>
      <name val="Courier"/>
      <family val="3"/>
    </font>
    <font>
      <sz val="10"/>
      <name val="AngsanaUPC"/>
      <family val="1"/>
    </font>
    <font>
      <sz val="12"/>
      <name val="|??¢¥¢¬¨Ï"/>
      <family val="1"/>
      <charset val="129"/>
    </font>
    <font>
      <sz val="11"/>
      <name val=" "/>
      <family val="3"/>
      <charset val="136"/>
    </font>
    <font>
      <sz val="10"/>
      <name val="VNI-Times"/>
    </font>
    <font>
      <sz val="10"/>
      <color indexed="8"/>
      <name val="Arial"/>
      <family val="2"/>
    </font>
    <font>
      <sz val="12"/>
      <name val="???"/>
    </font>
    <font>
      <sz val="11"/>
      <name val="‚l‚r ‚oƒSƒVƒbƒN"/>
      <family val="3"/>
      <charset val="128"/>
    </font>
    <font>
      <sz val="14"/>
      <name val="AngsanaUPC"/>
      <family val="1"/>
    </font>
    <font>
      <sz val="11"/>
      <name val="–¾’©"/>
      <family val="1"/>
      <charset val="128"/>
    </font>
    <font>
      <sz val="14"/>
      <name val="Terminal"/>
      <family val="3"/>
      <charset val="128"/>
    </font>
    <font>
      <sz val="14"/>
      <name val="VnTime"/>
    </font>
    <font>
      <sz val="10"/>
      <name val=".VnArial NarrowH"/>
      <family val="2"/>
    </font>
    <font>
      <b/>
      <u/>
      <sz val="14"/>
      <color indexed="8"/>
      <name val=".VnBook-AntiquaH"/>
      <family val="2"/>
    </font>
    <font>
      <sz val="11"/>
      <name val=".VnTime"/>
      <family val="2"/>
    </font>
    <font>
      <b/>
      <u/>
      <sz val="10"/>
      <name val="VNI-Times"/>
    </font>
    <font>
      <b/>
      <sz val="10"/>
      <name val=".VnArial"/>
      <family val="2"/>
    </font>
    <font>
      <sz val="10"/>
      <name val="VnTimes"/>
    </font>
    <font>
      <sz val="12"/>
      <color indexed="10"/>
      <name val=".VnArial Narrow"/>
      <family val="2"/>
    </font>
    <font>
      <sz val="12"/>
      <color indexed="8"/>
      <name val="¹ÙÅÁÃ¼"/>
      <family val="1"/>
      <charset val="129"/>
    </font>
    <font>
      <i/>
      <sz val="12"/>
      <color indexed="8"/>
      <name val=".VnBook-AntiquaH"/>
      <family val="2"/>
    </font>
    <font>
      <b/>
      <sz val="12"/>
      <color indexed="8"/>
      <name val=".VnBook-Antiqua"/>
      <family val="2"/>
    </font>
    <font>
      <i/>
      <sz val="12"/>
      <color indexed="8"/>
      <name val=".VnBook-Antiqua"/>
      <family val="2"/>
    </font>
    <font>
      <sz val="14"/>
      <name val=".VnTimeH"/>
      <family val="2"/>
    </font>
    <font>
      <sz val="11"/>
      <color indexed="9"/>
      <name val="Calibri"/>
      <family val="2"/>
    </font>
    <font>
      <sz val="11"/>
      <name val="VNtimes new roman"/>
      <family val="2"/>
    </font>
    <font>
      <sz val="14"/>
      <name val="VNI-Times"/>
    </font>
    <font>
      <sz val="12"/>
      <name val="¹UAAA¼"/>
      <family val="3"/>
      <charset val="129"/>
    </font>
    <font>
      <sz val="11"/>
      <name val="VNI-Times"/>
    </font>
    <font>
      <sz val="8"/>
      <name val="Times New Roman"/>
      <family val="1"/>
    </font>
    <font>
      <b/>
      <sz val="12"/>
      <color indexed="63"/>
      <name val="VNI-Times"/>
    </font>
    <font>
      <sz val="12"/>
      <name val="¹ÙÅÁÃ¼"/>
      <charset val="129"/>
    </font>
    <font>
      <sz val="11"/>
      <color indexed="20"/>
      <name val="Calibri"/>
      <family val="2"/>
    </font>
    <font>
      <b/>
      <i/>
      <sz val="14"/>
      <name val="VNTime"/>
      <family val="2"/>
    </font>
    <font>
      <sz val="12"/>
      <name val="Tms Rmn"/>
    </font>
    <font>
      <sz val="13"/>
      <name val=".VnTime"/>
      <family val="2"/>
    </font>
    <font>
      <sz val="10"/>
      <name val="Times New Roman"/>
      <family val="1"/>
    </font>
    <font>
      <sz val="11"/>
      <name val="µ¸¿ò"/>
      <charset val="129"/>
    </font>
    <font>
      <sz val="10"/>
      <name val="±¼¸²A¼"/>
      <family val="3"/>
      <charset val="129"/>
    </font>
    <font>
      <sz val="12"/>
      <name val="¹ÙÅÁÃ¼"/>
      <family val="1"/>
      <charset val="129"/>
    </font>
    <font>
      <sz val="10"/>
      <name val="Helv"/>
    </font>
    <font>
      <b/>
      <sz val="11"/>
      <color indexed="52"/>
      <name val="Calibri"/>
      <family val="2"/>
    </font>
    <font>
      <b/>
      <sz val="10"/>
      <name val="Helv"/>
    </font>
    <font>
      <b/>
      <sz val="8"/>
      <color indexed="12"/>
      <name val="Arial"/>
      <family val="2"/>
    </font>
    <font>
      <sz val="8"/>
      <color indexed="8"/>
      <name val="Arial"/>
      <family val="2"/>
    </font>
    <font>
      <sz val="11"/>
      <name val="Tms Rmn"/>
    </font>
    <font>
      <sz val="11"/>
      <color indexed="8"/>
      <name val="Arial"/>
      <family val="2"/>
    </font>
    <font>
      <sz val="11"/>
      <name val="UVnTime"/>
    </font>
    <font>
      <sz val="11"/>
      <color indexed="8"/>
      <name val="Calibri"/>
      <family val="2"/>
      <charset val="163"/>
    </font>
    <font>
      <sz val="12"/>
      <name val="VNI-Aptima"/>
    </font>
    <font>
      <b/>
      <sz val="12"/>
      <name val="VNTime"/>
      <family val="2"/>
    </font>
    <font>
      <sz val="10"/>
      <name val="MS Serif"/>
      <family val="1"/>
    </font>
    <font>
      <sz val="10"/>
      <name val="Courier"/>
      <family val="3"/>
    </font>
    <font>
      <sz val="11"/>
      <name val="VNcentury Gothic"/>
      <family val="2"/>
    </font>
    <font>
      <b/>
      <sz val="15"/>
      <name val="VNcentury Gothic"/>
      <family val="2"/>
    </font>
    <font>
      <sz val="12"/>
      <name val="SVNtimes new roman"/>
      <family val="2"/>
    </font>
    <font>
      <sz val="12"/>
      <name val="???"/>
      <family val="3"/>
      <charset val="129"/>
    </font>
    <font>
      <sz val="8"/>
      <name val="SVNtimes new roman"/>
      <family val="2"/>
    </font>
    <font>
      <b/>
      <sz val="11"/>
      <color indexed="9"/>
      <name val="Calibri"/>
      <family val="2"/>
    </font>
    <font>
      <sz val="10"/>
      <name val="VNI-Aptima"/>
    </font>
    <font>
      <sz val="10"/>
      <name val="SVNtimes new roman"/>
      <family val="2"/>
    </font>
    <font>
      <b/>
      <sz val="10"/>
      <color indexed="33"/>
      <name val="VNI-Times"/>
    </font>
    <font>
      <b/>
      <sz val="10"/>
      <color indexed="12"/>
      <name val="VNI-Times"/>
    </font>
    <font>
      <b/>
      <sz val="12"/>
      <name val="VNTimeH"/>
      <family val="2"/>
    </font>
    <font>
      <sz val="10"/>
      <name val="Arial CE"/>
      <charset val="238"/>
    </font>
    <font>
      <b/>
      <sz val="11"/>
      <color indexed="63"/>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0"/>
      <color indexed="16"/>
      <name val="MS Serif"/>
      <family val="1"/>
    </font>
    <font>
      <b/>
      <sz val="1"/>
      <color indexed="8"/>
      <name val="Courier"/>
      <family val="1"/>
      <charset val="163"/>
    </font>
    <font>
      <sz val="10"/>
      <name val="VNI-Helve-Condense"/>
    </font>
    <font>
      <i/>
      <sz val="11"/>
      <color indexed="23"/>
      <name val="Calibri"/>
      <family val="2"/>
    </font>
    <font>
      <sz val="1"/>
      <color indexed="8"/>
      <name val="Courier"/>
      <family val="1"/>
      <charset val="163"/>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8"/>
      <color indexed="10"/>
      <name val="VNnew Century Cond"/>
      <family val="2"/>
    </font>
    <font>
      <b/>
      <sz val="14"/>
      <color indexed="14"/>
      <name val="VNottawa"/>
      <family val="2"/>
    </font>
    <font>
      <b/>
      <sz val="16"/>
      <color indexed="14"/>
      <name val="VNottawa"/>
      <family val="2"/>
    </font>
    <font>
      <sz val="11"/>
      <color indexed="17"/>
      <name val="Calibri"/>
      <family val="2"/>
    </font>
    <font>
      <sz val="8"/>
      <name val="Arial"/>
      <family val="2"/>
    </font>
    <font>
      <sz val="12"/>
      <name val="VNTime"/>
      <family val="2"/>
    </font>
    <font>
      <sz val="10"/>
      <name val=".VnArialH"/>
      <family val="2"/>
    </font>
    <font>
      <b/>
      <sz val="12"/>
      <name val=".VnBook-AntiquaH"/>
      <family val="2"/>
    </font>
    <font>
      <b/>
      <sz val="12"/>
      <color indexed="9"/>
      <name val="Tms Rmn"/>
    </font>
    <font>
      <b/>
      <sz val="12"/>
      <name val="Helv"/>
    </font>
    <font>
      <b/>
      <sz val="12"/>
      <name val="Arial"/>
      <family val="2"/>
    </font>
    <font>
      <b/>
      <sz val="12"/>
      <name val="MS Sans Serif"/>
      <family val="2"/>
    </font>
    <font>
      <b/>
      <sz val="18"/>
      <name val="Arial"/>
      <family val="2"/>
    </font>
    <font>
      <b/>
      <sz val="1"/>
      <color indexed="8"/>
      <name val="Courier"/>
      <family val="3"/>
    </font>
    <font>
      <b/>
      <sz val="18"/>
      <name val="Arial"/>
      <family val="2"/>
      <charset val="163"/>
    </font>
    <font>
      <b/>
      <sz val="8"/>
      <name val="MS Sans Serif"/>
      <family val="2"/>
    </font>
    <font>
      <b/>
      <sz val="10"/>
      <name val=".VnTime"/>
      <family val="2"/>
    </font>
    <font>
      <sz val="10"/>
      <name val="vnTimesRoman"/>
    </font>
    <font>
      <b/>
      <sz val="14"/>
      <name val=".VnTimeH"/>
      <family val="2"/>
    </font>
    <font>
      <sz val="12"/>
      <name val="±¼¸²Ã¼"/>
      <family val="3"/>
      <charset val="129"/>
    </font>
    <font>
      <sz val="12"/>
      <name val="Helv"/>
      <family val="2"/>
    </font>
    <font>
      <sz val="10"/>
      <name val="VNI-Helve"/>
    </font>
    <font>
      <u/>
      <sz val="10"/>
      <color indexed="12"/>
      <name val=".VnTime"/>
      <family val="2"/>
    </font>
    <font>
      <u/>
      <sz val="12"/>
      <color indexed="12"/>
      <name val=".VnTime"/>
      <family val="2"/>
    </font>
    <font>
      <u/>
      <sz val="12"/>
      <color indexed="12"/>
      <name val="Arial"/>
      <family val="2"/>
    </font>
    <font>
      <b/>
      <sz val="10"/>
      <color indexed="10"/>
      <name val="VNI-Times"/>
    </font>
    <font>
      <sz val="10"/>
      <color indexed="16"/>
      <name val="MS Sans Serif"/>
      <family val="2"/>
    </font>
    <font>
      <sz val="11"/>
      <color indexed="52"/>
      <name val="Calibri"/>
      <family val="2"/>
    </font>
    <font>
      <sz val="12"/>
      <color indexed="9"/>
      <name val="Helv"/>
      <family val="2"/>
    </font>
    <font>
      <i/>
      <sz val="10"/>
      <name val=".VnTime"/>
      <family val="2"/>
    </font>
    <font>
      <sz val="8"/>
      <name val="VNarial"/>
      <family val="2"/>
    </font>
    <font>
      <b/>
      <sz val="11"/>
      <name val="Helv"/>
    </font>
    <font>
      <b/>
      <i/>
      <sz val="12"/>
      <name val=".VnAristote"/>
      <family val="2"/>
    </font>
    <font>
      <sz val="12"/>
      <name val="Arial"/>
      <family val="2"/>
    </font>
    <font>
      <sz val="11"/>
      <color indexed="60"/>
      <name val="Calibri"/>
      <family val="2"/>
    </font>
    <font>
      <sz val="7"/>
      <name val="Small Fonts"/>
      <family val="2"/>
    </font>
    <font>
      <b/>
      <sz val="12"/>
      <name val="VN-NTime"/>
    </font>
    <font>
      <sz val="12"/>
      <name val="???"/>
      <family val="1"/>
      <charset val="129"/>
    </font>
    <font>
      <sz val="10"/>
      <name val="VNtimes new roman"/>
      <family val="2"/>
    </font>
    <font>
      <sz val="10"/>
      <name val="VNtimes new roman"/>
      <family val="1"/>
    </font>
    <font>
      <sz val="12"/>
      <name val="바탕체"/>
      <family val="1"/>
      <charset val="129"/>
    </font>
    <font>
      <sz val="10"/>
      <name val="Arial"/>
      <family val="2"/>
      <charset val="163"/>
    </font>
    <font>
      <sz val="14"/>
      <name val="Times New Roman"/>
      <family val="1"/>
    </font>
    <font>
      <sz val="12"/>
      <name val="timesnewroman"/>
    </font>
    <font>
      <sz val="13"/>
      <name val="Times New Roman"/>
      <family val="1"/>
    </font>
    <font>
      <sz val="14"/>
      <name val="Times New Roman"/>
      <family val="1"/>
      <charset val="163"/>
    </font>
    <font>
      <sz val="12"/>
      <color indexed="8"/>
      <name val="Arial"/>
      <family val="2"/>
    </font>
    <font>
      <sz val="11"/>
      <color indexed="8"/>
      <name val="Helvetica Neue"/>
    </font>
    <font>
      <sz val="10"/>
      <name val="VNlucida sans"/>
      <family val="2"/>
    </font>
    <font>
      <sz val="11"/>
      <name val="VNI-Aptima"/>
    </font>
    <font>
      <sz val="14"/>
      <name val="System"/>
      <family val="2"/>
    </font>
    <font>
      <b/>
      <sz val="11"/>
      <name val="Arial"/>
      <family val="2"/>
    </font>
    <font>
      <sz val="14"/>
      <name val=".VnArial Narrow"/>
      <family val="2"/>
    </font>
    <font>
      <sz val="12"/>
      <name val="Helv"/>
    </font>
    <font>
      <b/>
      <sz val="10"/>
      <name val="MS Sans Serif"/>
      <family val="2"/>
    </font>
    <font>
      <sz val="8"/>
      <name val="Wingdings"/>
      <charset val="2"/>
    </font>
    <font>
      <sz val="8"/>
      <name val="Helv"/>
    </font>
    <font>
      <sz val="11"/>
      <name val="UVnTime"/>
      <family val="2"/>
    </font>
    <font>
      <b/>
      <sz val="13"/>
      <name val="3C_Times_T"/>
    </font>
    <font>
      <b/>
      <sz val="12"/>
      <color indexed="8"/>
      <name val="Arial"/>
      <family val="2"/>
    </font>
    <font>
      <b/>
      <i/>
      <sz val="12"/>
      <color indexed="8"/>
      <name val="Arial"/>
      <family val="2"/>
    </font>
    <font>
      <i/>
      <sz val="12"/>
      <color indexed="8"/>
      <name val="Arial"/>
      <family val="2"/>
    </font>
    <font>
      <sz val="19"/>
      <color indexed="48"/>
      <name val="Arial"/>
      <family val="2"/>
    </font>
    <font>
      <sz val="12"/>
      <color indexed="14"/>
      <name val="Arial"/>
      <family val="2"/>
    </font>
    <font>
      <sz val="11"/>
      <name val="3C_Times_T"/>
    </font>
    <font>
      <b/>
      <sz val="18"/>
      <color indexed="62"/>
      <name val="Cambria"/>
      <family val="2"/>
    </font>
    <font>
      <u/>
      <sz val="12"/>
      <color indexed="12"/>
      <name val="Times New Roman"/>
      <family val="1"/>
    </font>
    <font>
      <sz val="8"/>
      <name val="MS Sans Serif"/>
      <family val="2"/>
    </font>
    <font>
      <sz val="9"/>
      <name val="Arial"/>
      <family val="2"/>
    </font>
    <font>
      <b/>
      <sz val="10.5"/>
      <name val=".VnAvantH"/>
      <family val="2"/>
    </font>
    <font>
      <sz val="10"/>
      <name val="VNbook-Antiqua"/>
    </font>
    <font>
      <sz val="11"/>
      <color indexed="32"/>
      <name val="VNI-Times"/>
    </font>
    <font>
      <b/>
      <sz val="8"/>
      <color indexed="8"/>
      <name val="Helv"/>
    </font>
    <font>
      <sz val="10"/>
      <name val="Symbol"/>
      <family val="1"/>
      <charset val="2"/>
    </font>
    <font>
      <sz val="13"/>
      <name val=".VnArial"/>
      <family val="2"/>
    </font>
    <font>
      <b/>
      <sz val="10"/>
      <name val="VNI-Univer"/>
    </font>
    <font>
      <sz val="12"/>
      <name val="Times New Roman"/>
      <family val="1"/>
      <charset val="163"/>
    </font>
    <font>
      <sz val="10"/>
      <name val=".VnBook-Antiqua"/>
      <family val="2"/>
    </font>
    <font>
      <b/>
      <sz val="12"/>
      <name val=".VnTime"/>
      <family val="2"/>
    </font>
    <font>
      <b/>
      <u val="double"/>
      <sz val="12"/>
      <color indexed="12"/>
      <name val=".VnBahamasB"/>
      <family val="2"/>
    </font>
    <font>
      <b/>
      <i/>
      <u/>
      <sz val="12"/>
      <name val=".VnTimeH"/>
      <family val="2"/>
    </font>
    <font>
      <b/>
      <sz val="18"/>
      <color indexed="56"/>
      <name val="Cambria"/>
      <family val="2"/>
    </font>
    <font>
      <sz val="10"/>
      <name val=".VnArial Narrow"/>
      <family val="2"/>
    </font>
    <font>
      <sz val="9.5"/>
      <name val=".VnBlackH"/>
      <family val="2"/>
    </font>
    <font>
      <b/>
      <sz val="10"/>
      <name val=".VnBahamasBH"/>
      <family val="2"/>
    </font>
    <font>
      <b/>
      <sz val="11"/>
      <name val=".VnArialH"/>
      <family val="2"/>
    </font>
    <font>
      <b/>
      <sz val="10"/>
      <name val=".VnTimeH"/>
      <family val="2"/>
    </font>
    <font>
      <b/>
      <sz val="11"/>
      <name val=".VnTimeH"/>
      <family val="2"/>
    </font>
    <font>
      <b/>
      <sz val="10"/>
      <name val=".VnArialH"/>
      <family val="2"/>
    </font>
    <font>
      <sz val="10"/>
      <name val="VNI-Univer"/>
    </font>
    <font>
      <b/>
      <sz val="12"/>
      <name val="VNI-Times"/>
    </font>
    <font>
      <sz val="12"/>
      <name val="VnTime"/>
    </font>
    <font>
      <sz val="11"/>
      <name val=".VnAvant"/>
      <family val="2"/>
    </font>
    <font>
      <b/>
      <sz val="13"/>
      <color indexed="8"/>
      <name val=".VnTimeH"/>
      <family val="2"/>
    </font>
    <font>
      <sz val="10"/>
      <name val=".VnAvant"/>
      <family val="2"/>
    </font>
    <font>
      <sz val="11"/>
      <color indexed="10"/>
      <name val="Calibri"/>
      <family val="2"/>
    </font>
    <font>
      <sz val="14"/>
      <name val="VnTime"/>
      <family val="2"/>
    </font>
    <font>
      <b/>
      <sz val="8"/>
      <name val="VN Helvetica"/>
    </font>
    <font>
      <sz val="9"/>
      <name val=".VnTime"/>
      <family val="2"/>
    </font>
    <font>
      <b/>
      <sz val="10"/>
      <name val="VN AvantGBook"/>
    </font>
    <font>
      <b/>
      <sz val="16"/>
      <name val=".VnTime"/>
      <family val="2"/>
    </font>
    <font>
      <sz val="10"/>
      <name val="Geneva"/>
      <family val="2"/>
    </font>
    <font>
      <sz val="14"/>
      <name val=".VnArial"/>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3"/>
    </font>
    <font>
      <sz val="12"/>
      <name val="뼻뮝"/>
      <family val="3"/>
    </font>
    <font>
      <sz val="10"/>
      <name val="명조"/>
      <family val="3"/>
      <charset val="129"/>
    </font>
    <font>
      <sz val="10"/>
      <name val="돋움체"/>
      <family val="3"/>
      <charset val="129"/>
    </font>
    <font>
      <i/>
      <sz val="11"/>
      <name val="Times New Roman"/>
      <family val="1"/>
    </font>
    <font>
      <sz val="12"/>
      <color indexed="8"/>
      <name val="Times New Roman"/>
      <family val="1"/>
    </font>
    <font>
      <sz val="11"/>
      <color indexed="8"/>
      <name val="Times New Roman"/>
      <family val="1"/>
    </font>
    <font>
      <b/>
      <sz val="12"/>
      <color indexed="8"/>
      <name val="Times New Roman"/>
      <family val="1"/>
    </font>
    <font>
      <i/>
      <sz val="12"/>
      <color indexed="8"/>
      <name val="Times New Roman"/>
      <family val="1"/>
    </font>
    <font>
      <b/>
      <i/>
      <sz val="14"/>
      <name val="Times New Roman"/>
      <family val="1"/>
    </font>
    <font>
      <i/>
      <sz val="14"/>
      <color indexed="8"/>
      <name val="Times New Roman"/>
      <family val="1"/>
    </font>
    <font>
      <i/>
      <sz val="13"/>
      <name val="Times New Roman"/>
      <family val="1"/>
    </font>
    <font>
      <b/>
      <sz val="10"/>
      <name val="Times New Roman"/>
      <family val="1"/>
    </font>
    <font>
      <b/>
      <i/>
      <sz val="11"/>
      <name val="Times New Roman"/>
      <family val="1"/>
    </font>
    <font>
      <sz val="11"/>
      <name val="Times New Roman"/>
      <family val="1"/>
      <charset val="163"/>
    </font>
    <font>
      <sz val="8"/>
      <name val="Calibri"/>
      <family val="2"/>
    </font>
    <font>
      <i/>
      <sz val="10"/>
      <name val="Times New Roman"/>
      <family val="1"/>
    </font>
    <font>
      <sz val="9"/>
      <name val="Times New Roman"/>
      <family val="1"/>
    </font>
    <font>
      <i/>
      <sz val="9"/>
      <name val="Times New Roman"/>
      <family val="1"/>
    </font>
    <font>
      <b/>
      <sz val="9"/>
      <name val="Times New Roman"/>
      <family val="1"/>
    </font>
    <font>
      <sz val="5"/>
      <name val="Times New Roman"/>
      <family val="1"/>
    </font>
    <font>
      <sz val="9"/>
      <name val="Cambria"/>
      <family val="1"/>
    </font>
    <font>
      <vertAlign val="superscript"/>
      <sz val="9"/>
      <name val="Times New Roman"/>
      <family val="1"/>
    </font>
    <font>
      <b/>
      <i/>
      <sz val="16"/>
      <name val="Times New Roman"/>
      <family val="1"/>
    </font>
    <font>
      <sz val="11"/>
      <color theme="1"/>
      <name val="Calibri"/>
      <family val="2"/>
      <scheme val="minor"/>
    </font>
    <font>
      <sz val="11"/>
      <color theme="1"/>
      <name val="Calibri"/>
      <family val="2"/>
      <charset val="163"/>
      <scheme val="minor"/>
    </font>
    <font>
      <sz val="12"/>
      <color theme="1"/>
      <name val="Times New Roman"/>
      <family val="2"/>
    </font>
    <font>
      <sz val="14"/>
      <color theme="1"/>
      <name val="Times New Roman"/>
      <family val="2"/>
      <charset val="163"/>
    </font>
    <font>
      <sz val="11"/>
      <color theme="1"/>
      <name val="Calibri"/>
      <family val="2"/>
    </font>
    <font>
      <sz val="11"/>
      <color theme="1"/>
      <name val="Times New Roman"/>
      <family val="2"/>
    </font>
    <font>
      <sz val="11"/>
      <color theme="1"/>
      <name val="Arial"/>
      <family val="2"/>
    </font>
    <font>
      <sz val="11"/>
      <color theme="1"/>
      <name val="Calibri"/>
      <family val="2"/>
      <charset val="163"/>
    </font>
    <font>
      <sz val="11"/>
      <color rgb="FF000000"/>
      <name val="Calibri"/>
      <family val="2"/>
      <scheme val="minor"/>
    </font>
    <font>
      <sz val="14"/>
      <color theme="1"/>
      <name val="Times New Roman"/>
      <family val="1"/>
    </font>
    <font>
      <sz val="11"/>
      <color theme="1"/>
      <name val="Times New Roman"/>
      <family val="1"/>
    </font>
    <font>
      <b/>
      <sz val="11"/>
      <color theme="1"/>
      <name val="Times New Roman"/>
      <family val="1"/>
    </font>
    <font>
      <sz val="12"/>
      <color theme="1"/>
      <name val="Times New Roman"/>
      <family val="1"/>
    </font>
    <font>
      <b/>
      <sz val="12"/>
      <color theme="1"/>
      <name val="Times New Roman"/>
      <family val="1"/>
    </font>
    <font>
      <b/>
      <sz val="12"/>
      <color rgb="FFFF0000"/>
      <name val="Times New Roman"/>
      <family val="1"/>
    </font>
    <font>
      <b/>
      <i/>
      <sz val="12"/>
      <color rgb="FFFF0000"/>
      <name val="Times New Roman"/>
      <family val="1"/>
    </font>
    <font>
      <sz val="12"/>
      <color rgb="FFFF0000"/>
      <name val="Times New Roman"/>
      <family val="1"/>
    </font>
    <font>
      <b/>
      <i/>
      <sz val="12"/>
      <color theme="1"/>
      <name val="Times New Roman"/>
      <family val="1"/>
    </font>
    <font>
      <i/>
      <sz val="12"/>
      <color theme="1"/>
      <name val="Times New Roman"/>
      <family val="1"/>
    </font>
    <font>
      <sz val="8"/>
      <color theme="1"/>
      <name val="Times New Roman"/>
      <family val="1"/>
    </font>
    <font>
      <b/>
      <sz val="14"/>
      <color theme="1"/>
      <name val="Times New Roman"/>
      <family val="1"/>
    </font>
    <font>
      <b/>
      <sz val="11"/>
      <color rgb="FFFF0000"/>
      <name val="Times New Roman"/>
      <family val="1"/>
    </font>
    <font>
      <b/>
      <i/>
      <sz val="11"/>
      <color theme="1"/>
      <name val="Times New Roman"/>
      <family val="1"/>
    </font>
    <font>
      <sz val="10"/>
      <color theme="1"/>
      <name val="Times New Roman"/>
      <family val="1"/>
    </font>
    <font>
      <sz val="9"/>
      <color theme="1"/>
      <name val="Times New Roman"/>
      <family val="1"/>
    </font>
    <font>
      <sz val="11"/>
      <color rgb="FFFF0000"/>
      <name val="Times New Roman"/>
      <family val="1"/>
    </font>
    <font>
      <i/>
      <sz val="11"/>
      <color theme="1"/>
      <name val="Times New Roman"/>
      <family val="1"/>
    </font>
    <font>
      <sz val="10"/>
      <color rgb="FFFF0000"/>
      <name val="Times New Roman"/>
      <family val="1"/>
    </font>
    <font>
      <sz val="9"/>
      <color rgb="FF000000"/>
      <name val="Times New Roman"/>
      <family val="1"/>
    </font>
    <font>
      <sz val="9"/>
      <color theme="1"/>
      <name val="Calibri"/>
      <family val="2"/>
      <scheme val="minor"/>
    </font>
    <font>
      <sz val="9"/>
      <color rgb="FFFF0000"/>
      <name val="Times New Roman"/>
      <family val="1"/>
    </font>
    <font>
      <sz val="10"/>
      <color theme="1"/>
      <name val="Calibri"/>
      <family val="2"/>
      <scheme val="minor"/>
    </font>
    <font>
      <sz val="11"/>
      <color rgb="FFFF0000"/>
      <name val="Times New Roman"/>
      <family val="1"/>
      <charset val="163"/>
    </font>
    <font>
      <sz val="11"/>
      <color rgb="FFFF0000"/>
      <name val="Calibri"/>
      <family val="2"/>
      <scheme val="minor"/>
    </font>
    <font>
      <b/>
      <sz val="9"/>
      <color rgb="FFFF0000"/>
      <name val="Times New Roman"/>
      <family val="1"/>
    </font>
    <font>
      <sz val="10.5"/>
      <color rgb="FFFF0000"/>
      <name val="Times New Roman"/>
      <family val="1"/>
    </font>
    <font>
      <sz val="9"/>
      <color rgb="FFFF0000"/>
      <name val="Calibri"/>
      <family val="2"/>
      <scheme val="minor"/>
    </font>
    <font>
      <sz val="5"/>
      <color rgb="FFFF0000"/>
      <name val="Times New Roman"/>
      <family val="1"/>
    </font>
    <font>
      <b/>
      <sz val="9"/>
      <color theme="1"/>
      <name val="Times New Roman"/>
      <family val="1"/>
    </font>
    <font>
      <sz val="14"/>
      <color rgb="FFFF0000"/>
      <name val="Times New Roman"/>
      <family val="1"/>
    </font>
    <font>
      <i/>
      <sz val="14"/>
      <color theme="1"/>
      <name val="Times New Roman"/>
      <family val="1"/>
    </font>
    <font>
      <i/>
      <sz val="11"/>
      <color rgb="FFFF0000"/>
      <name val="Times New Roman"/>
      <family val="1"/>
    </font>
    <font>
      <sz val="14"/>
      <color rgb="FF000000"/>
      <name val="Times New Roman"/>
      <family val="1"/>
    </font>
    <font>
      <sz val="11"/>
      <color theme="1"/>
      <name val="Times New Roman"/>
      <family val="1"/>
      <charset val="163"/>
    </font>
    <font>
      <b/>
      <sz val="11"/>
      <color theme="1"/>
      <name val="Calibri"/>
      <family val="2"/>
      <scheme val="minor"/>
    </font>
    <font>
      <sz val="16"/>
      <color theme="1"/>
      <name val="Times New Roman"/>
      <family val="1"/>
    </font>
    <font>
      <b/>
      <sz val="16"/>
      <color theme="1"/>
      <name val="Times New Roman"/>
      <family val="1"/>
    </font>
    <font>
      <i/>
      <sz val="16"/>
      <color theme="1"/>
      <name val="Times New Roman"/>
      <family val="1"/>
    </font>
    <font>
      <b/>
      <sz val="10"/>
      <color theme="1"/>
      <name val="Times New Roman"/>
      <family val="1"/>
    </font>
    <font>
      <b/>
      <i/>
      <sz val="11"/>
      <color rgb="FFFF0000"/>
      <name val="Times New Roman"/>
      <family val="1"/>
    </font>
    <font>
      <b/>
      <sz val="12"/>
      <name val="Times New Roman"/>
      <family val="1"/>
      <charset val="163"/>
    </font>
  </fonts>
  <fills count="75">
    <fill>
      <patternFill patternType="none"/>
    </fill>
    <fill>
      <patternFill patternType="gray125"/>
    </fill>
    <fill>
      <patternFill patternType="solid">
        <fgColor indexed="22"/>
        <bgColor indexed="31"/>
      </patternFill>
    </fill>
    <fill>
      <patternFill patternType="solid">
        <fgColor indexed="22"/>
        <bgColor indexed="64"/>
      </patternFill>
    </fill>
    <fill>
      <patternFill patternType="solid">
        <fgColor indexed="22"/>
      </patternFill>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31"/>
        <bgColor indexed="31"/>
      </patternFill>
    </fill>
    <fill>
      <patternFill patternType="solid">
        <fgColor indexed="44"/>
        <bgColor indexed="44"/>
      </patternFill>
    </fill>
    <fill>
      <patternFill patternType="solid">
        <fgColor indexed="10"/>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57"/>
      </patternFill>
    </fill>
    <fill>
      <patternFill patternType="solid">
        <fgColor indexed="42"/>
        <bgColor indexed="42"/>
      </patternFill>
    </fill>
    <fill>
      <patternFill patternType="solid">
        <fgColor indexed="27"/>
        <bgColor indexed="27"/>
      </patternFill>
    </fill>
    <fill>
      <patternFill patternType="solid">
        <fgColor indexed="53"/>
      </patternFill>
    </fill>
    <fill>
      <patternFill patternType="solid">
        <fgColor indexed="47"/>
        <bgColor indexed="47"/>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26"/>
      </patternFill>
    </fill>
    <fill>
      <patternFill patternType="solid">
        <fgColor indexed="9"/>
        <bgColor indexed="64"/>
      </patternFill>
    </fill>
    <fill>
      <patternFill patternType="solid">
        <fgColor indexed="41"/>
        <bgColor indexed="64"/>
      </patternFill>
    </fill>
    <fill>
      <patternFill patternType="solid">
        <fgColor indexed="65"/>
        <bgColor indexed="64"/>
      </patternFill>
    </fill>
    <fill>
      <patternFill patternType="solid">
        <fgColor indexed="40"/>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31"/>
        <bgColor indexed="64"/>
      </patternFill>
    </fill>
    <fill>
      <patternFill patternType="solid">
        <fgColor indexed="43"/>
      </patternFill>
    </fill>
    <fill>
      <patternFill patternType="solid">
        <fgColor indexed="10"/>
        <bgColor indexed="64"/>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9"/>
        <bgColor indexed="9"/>
      </patternFill>
    </fill>
    <fill>
      <patternFill patternType="solid">
        <fgColor indexed="35"/>
        <bgColor indexed="64"/>
      </patternFill>
    </fill>
    <fill>
      <patternFill patternType="gray125">
        <fgColor indexed="35"/>
      </patternFill>
    </fill>
    <fill>
      <patternFill patternType="solid">
        <fgColor indexed="26"/>
        <bgColor indexed="9"/>
      </patternFill>
    </fill>
    <fill>
      <patternFill patternType="solid">
        <fgColor indexed="9"/>
        <bgColor indexed="10"/>
      </patternFill>
    </fill>
    <fill>
      <patternFill patternType="solid">
        <fgColor theme="0"/>
        <bgColor indexed="64"/>
      </patternFill>
    </fill>
    <fill>
      <patternFill patternType="solid">
        <fgColor rgb="FFFFFF00"/>
        <bgColor indexed="64"/>
      </patternFill>
    </fill>
    <fill>
      <patternFill patternType="solid">
        <fgColor rgb="FFFFFFCC"/>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bgColor theme="0"/>
      </patternFill>
    </fill>
    <fill>
      <patternFill patternType="solid">
        <fgColor theme="0"/>
        <bgColor rgb="FFFFFF00"/>
      </patternFill>
    </fill>
    <fill>
      <patternFill patternType="solid">
        <fgColor theme="0"/>
        <bgColor rgb="FF000000"/>
      </patternFill>
    </fill>
    <fill>
      <patternFill patternType="solid">
        <fgColor rgb="FFFFFF00"/>
        <bgColor theme="0"/>
      </patternFill>
    </fill>
    <fill>
      <patternFill patternType="solid">
        <fgColor theme="7"/>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uble">
        <color indexed="64"/>
      </top>
      <bottom style="hair">
        <color indexed="64"/>
      </bottom>
      <diagonal/>
    </border>
    <border>
      <left/>
      <right/>
      <top/>
      <bottom style="hair">
        <color indexed="64"/>
      </bottom>
      <diagonal/>
    </border>
    <border>
      <left/>
      <right/>
      <top style="double">
        <color indexed="64"/>
      </top>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hair">
        <color indexed="64"/>
      </top>
      <bottom style="hair">
        <color indexed="64"/>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thin">
        <color indexed="64"/>
      </bottom>
      <diagonal/>
    </border>
    <border>
      <left style="thin">
        <color indexed="64"/>
      </left>
      <right/>
      <top/>
      <bottom/>
      <diagonal/>
    </border>
    <border>
      <left/>
      <right style="double">
        <color indexed="64"/>
      </right>
      <top/>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ck">
        <color indexed="64"/>
      </left>
      <right/>
      <top style="thick">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hair">
        <color indexed="64"/>
      </top>
      <bottom style="hair">
        <color indexed="64"/>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style="thin">
        <color indexed="64"/>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medium">
        <color indexed="64"/>
      </right>
      <top style="medium">
        <color indexed="64"/>
      </top>
      <bottom style="thin">
        <color indexed="64"/>
      </bottom>
      <diagonal/>
    </border>
    <border>
      <left/>
      <right style="medium">
        <color indexed="0"/>
      </right>
      <top/>
      <bottom/>
      <diagonal/>
    </border>
    <border>
      <left style="thin">
        <color indexed="64"/>
      </left>
      <right style="thin">
        <color indexed="64"/>
      </right>
      <top style="thin">
        <color indexed="64"/>
      </top>
      <bottom/>
      <diagonal/>
    </border>
    <border>
      <left style="double">
        <color indexed="64"/>
      </left>
      <right style="thin">
        <color indexed="64"/>
      </right>
      <top style="double">
        <color indexed="64"/>
      </top>
      <bottom/>
      <diagonal/>
    </border>
    <border>
      <left style="double">
        <color indexed="64"/>
      </left>
      <right style="thin">
        <color indexed="64"/>
      </right>
      <top style="hair">
        <color indexed="64"/>
      </top>
      <bottom style="double">
        <color indexed="64"/>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hair">
        <color indexed="64"/>
      </left>
      <right/>
      <top/>
      <bottom/>
      <diagonal/>
    </border>
    <border>
      <left style="thin">
        <color indexed="64"/>
      </left>
      <right style="thin">
        <color indexed="64"/>
      </right>
      <top style="medium">
        <color indexed="64"/>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tted">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rgb="FF000000"/>
      </right>
      <top style="thin">
        <color rgb="FF000000"/>
      </top>
      <bottom style="thin">
        <color rgb="FF000000"/>
      </bottom>
      <diagonal/>
    </border>
  </borders>
  <cellStyleXfs count="2139">
    <xf numFmtId="0" fontId="0" fillId="0" borderId="0"/>
    <xf numFmtId="185" fontId="16" fillId="0" borderId="0" applyFont="0" applyFill="0" applyBorder="0" applyAlignment="0" applyProtection="0"/>
    <xf numFmtId="0" fontId="17" fillId="0" borderId="0" applyNumberFormat="0" applyFill="0" applyBorder="0" applyAlignment="0" applyProtection="0"/>
    <xf numFmtId="0" fontId="18" fillId="0" borderId="0"/>
    <xf numFmtId="0" fontId="19" fillId="0" borderId="0"/>
    <xf numFmtId="0" fontId="19" fillId="0" borderId="0"/>
    <xf numFmtId="3" fontId="20" fillId="0" borderId="1"/>
    <xf numFmtId="186" fontId="21" fillId="0" borderId="2">
      <alignment horizontal="center"/>
      <protection hidden="1"/>
    </xf>
    <xf numFmtId="187" fontId="22" fillId="0" borderId="0"/>
    <xf numFmtId="175" fontId="23" fillId="0" borderId="3" applyFont="0" applyBorder="0"/>
    <xf numFmtId="0" fontId="24" fillId="0" borderId="0"/>
    <xf numFmtId="188" fontId="2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7" fillId="0" borderId="0" applyFont="0" applyFill="0" applyBorder="0" applyAlignment="0" applyProtection="0"/>
    <xf numFmtId="189" fontId="25" fillId="0" borderId="0" applyFont="0" applyFill="0" applyBorder="0" applyAlignment="0" applyProtection="0"/>
    <xf numFmtId="190" fontId="28" fillId="0" borderId="0" applyFon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9" fillId="0" borderId="0" applyFont="0" applyFill="0" applyBorder="0" applyAlignment="0" applyProtection="0"/>
    <xf numFmtId="0" fontId="30" fillId="0" borderId="4"/>
    <xf numFmtId="191" fontId="24" fillId="0" borderId="0" applyFont="0" applyFill="0" applyBorder="0" applyAlignment="0" applyProtection="0"/>
    <xf numFmtId="170" fontId="31" fillId="0" borderId="0" applyFont="0" applyFill="0" applyBorder="0" applyAlignment="0" applyProtection="0"/>
    <xf numFmtId="171" fontId="31" fillId="0" borderId="0" applyFont="0" applyFill="0" applyBorder="0" applyAlignment="0" applyProtection="0"/>
    <xf numFmtId="192" fontId="32" fillId="0" borderId="0" applyFill="0" applyBorder="0" applyAlignment="0" applyProtection="0"/>
    <xf numFmtId="193" fontId="33" fillId="0" borderId="0" applyFont="0" applyFill="0" applyBorder="0" applyAlignment="0" applyProtection="0"/>
    <xf numFmtId="0" fontId="34" fillId="0" borderId="0" applyFont="0" applyFill="0" applyBorder="0" applyAlignment="0" applyProtection="0"/>
    <xf numFmtId="192" fontId="32" fillId="0" borderId="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194" fontId="32" fillId="0" borderId="0" applyFill="0" applyBorder="0" applyAlignment="0" applyProtection="0"/>
    <xf numFmtId="0" fontId="35" fillId="0" borderId="0"/>
    <xf numFmtId="0" fontId="25" fillId="0" borderId="0" applyNumberFormat="0" applyFill="0" applyBorder="0" applyAlignment="0" applyProtection="0"/>
    <xf numFmtId="195" fontId="32" fillId="0" borderId="0" applyFill="0" applyBorder="0" applyAlignment="0" applyProtection="0"/>
    <xf numFmtId="40" fontId="36" fillId="0" borderId="0" applyFont="0" applyFill="0" applyBorder="0" applyAlignment="0" applyProtection="0"/>
    <xf numFmtId="38" fontId="36" fillId="0" borderId="0" applyFont="0" applyFill="0" applyBorder="0" applyAlignment="0" applyProtection="0"/>
    <xf numFmtId="170" fontId="17" fillId="0" borderId="0" applyFont="0" applyFill="0" applyBorder="0" applyAlignment="0" applyProtection="0"/>
    <xf numFmtId="0" fontId="24" fillId="0" borderId="0" applyNumberFormat="0" applyFill="0" applyBorder="0" applyAlignment="0" applyProtection="0"/>
    <xf numFmtId="166" fontId="37" fillId="0" borderId="0" applyFont="0" applyFill="0" applyBorder="0" applyAlignment="0" applyProtection="0"/>
    <xf numFmtId="0" fontId="25" fillId="0" borderId="0"/>
    <xf numFmtId="0" fontId="24" fillId="0" borderId="0" applyNumberFormat="0" applyFill="0" applyBorder="0" applyAlignment="0" applyProtection="0"/>
    <xf numFmtId="0" fontId="38" fillId="0" borderId="0">
      <alignment vertical="top"/>
    </xf>
    <xf numFmtId="0" fontId="38" fillId="0" borderId="0">
      <alignment vertical="top"/>
    </xf>
    <xf numFmtId="0" fontId="38" fillId="0" borderId="0">
      <alignment vertical="top"/>
    </xf>
    <xf numFmtId="196" fontId="17" fillId="0" borderId="0" applyFont="0" applyFill="0" applyBorder="0" applyAlignment="0" applyProtection="0"/>
    <xf numFmtId="0" fontId="10" fillId="0" borderId="0"/>
    <xf numFmtId="0" fontId="26" fillId="0" borderId="0"/>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26" fillId="0" borderId="0"/>
    <xf numFmtId="0" fontId="10" fillId="0" borderId="0"/>
    <xf numFmtId="0" fontId="10" fillId="0" borderId="0"/>
    <xf numFmtId="166" fontId="37" fillId="0" borderId="0" applyFont="0" applyFill="0" applyBorder="0" applyAlignment="0" applyProtection="0"/>
    <xf numFmtId="0" fontId="38" fillId="0" borderId="0">
      <alignment vertical="top"/>
    </xf>
    <xf numFmtId="0" fontId="38" fillId="0" borderId="0">
      <alignment vertical="top"/>
    </xf>
    <xf numFmtId="197" fontId="37" fillId="0" borderId="0" applyFont="0" applyFill="0" applyBorder="0" applyAlignment="0" applyProtection="0"/>
    <xf numFmtId="166" fontId="37" fillId="0" borderId="0" applyFont="0" applyFill="0" applyBorder="0" applyAlignment="0" applyProtection="0"/>
    <xf numFmtId="0" fontId="38" fillId="0" borderId="0">
      <alignment vertical="top"/>
    </xf>
    <xf numFmtId="166" fontId="37" fillId="0" borderId="0" applyFont="0" applyFill="0" applyBorder="0" applyAlignment="0" applyProtection="0"/>
    <xf numFmtId="0" fontId="26" fillId="0" borderId="0"/>
    <xf numFmtId="0" fontId="38" fillId="0" borderId="0">
      <alignment vertical="top"/>
    </xf>
    <xf numFmtId="0" fontId="24" fillId="0" borderId="0" applyNumberFormat="0" applyFill="0" applyBorder="0" applyAlignment="0" applyProtection="0"/>
    <xf numFmtId="198" fontId="16" fillId="0" borderId="0" applyFont="0" applyFill="0" applyBorder="0" applyAlignment="0" applyProtection="0"/>
    <xf numFmtId="166" fontId="37" fillId="0" borderId="0" applyFont="0" applyFill="0" applyBorder="0" applyAlignment="0" applyProtection="0"/>
    <xf numFmtId="0" fontId="25" fillId="0" borderId="0"/>
    <xf numFmtId="0" fontId="38" fillId="0" borderId="0">
      <alignment vertical="top"/>
    </xf>
    <xf numFmtId="0" fontId="25" fillId="0" borderId="0"/>
    <xf numFmtId="0" fontId="38" fillId="0" borderId="0">
      <alignment vertical="top"/>
    </xf>
    <xf numFmtId="0" fontId="25" fillId="0" borderId="0"/>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24" fillId="0" borderId="0" applyNumberFormat="0" applyFill="0" applyBorder="0" applyAlignment="0" applyProtection="0"/>
    <xf numFmtId="0" fontId="38" fillId="0" borderId="0">
      <alignment vertical="top"/>
    </xf>
    <xf numFmtId="166" fontId="37" fillId="0" borderId="0" applyFont="0" applyFill="0" applyBorder="0" applyAlignment="0" applyProtection="0"/>
    <xf numFmtId="0" fontId="38" fillId="0" borderId="0">
      <alignment vertical="top"/>
    </xf>
    <xf numFmtId="0" fontId="38" fillId="0" borderId="0">
      <alignment vertical="top"/>
    </xf>
    <xf numFmtId="0" fontId="26" fillId="0" borderId="0"/>
    <xf numFmtId="0" fontId="38" fillId="0" borderId="0">
      <alignment vertical="top"/>
    </xf>
    <xf numFmtId="0" fontId="26" fillId="0" borderId="0"/>
    <xf numFmtId="0" fontId="38" fillId="0" borderId="0">
      <alignment vertical="top"/>
    </xf>
    <xf numFmtId="0" fontId="38" fillId="0" borderId="0">
      <alignment vertical="top"/>
    </xf>
    <xf numFmtId="0" fontId="38" fillId="0" borderId="0">
      <alignment vertical="top"/>
    </xf>
    <xf numFmtId="0" fontId="24" fillId="0" borderId="0" applyNumberFormat="0" applyFill="0" applyBorder="0" applyAlignment="0" applyProtection="0"/>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10" fillId="0" borderId="0"/>
    <xf numFmtId="0" fontId="26" fillId="0" borderId="0"/>
    <xf numFmtId="0" fontId="38" fillId="0" borderId="0">
      <alignment vertical="top"/>
    </xf>
    <xf numFmtId="0" fontId="10" fillId="0" borderId="0"/>
    <xf numFmtId="0" fontId="10" fillId="0" borderId="0"/>
    <xf numFmtId="0" fontId="10" fillId="0" borderId="0"/>
    <xf numFmtId="0" fontId="26" fillId="0" borderId="0"/>
    <xf numFmtId="0" fontId="38" fillId="0" borderId="0">
      <alignment vertical="top"/>
    </xf>
    <xf numFmtId="0" fontId="38" fillId="0" borderId="0">
      <alignment vertical="top"/>
    </xf>
    <xf numFmtId="166" fontId="37" fillId="0" borderId="0" applyFont="0" applyFill="0" applyBorder="0" applyAlignment="0" applyProtection="0"/>
    <xf numFmtId="0" fontId="38" fillId="0" borderId="0">
      <alignment vertical="top"/>
    </xf>
    <xf numFmtId="0" fontId="25" fillId="0" borderId="0"/>
    <xf numFmtId="166" fontId="37" fillId="0" borderId="0" applyFont="0" applyFill="0" applyBorder="0" applyAlignment="0" applyProtection="0"/>
    <xf numFmtId="166" fontId="37" fillId="0" borderId="0" applyFont="0" applyFill="0" applyBorder="0" applyAlignment="0" applyProtection="0"/>
    <xf numFmtId="0" fontId="26" fillId="0" borderId="0"/>
    <xf numFmtId="0" fontId="10" fillId="0" borderId="0"/>
    <xf numFmtId="199" fontId="37" fillId="0" borderId="0" applyFont="0" applyFill="0" applyBorder="0" applyAlignment="0" applyProtection="0"/>
    <xf numFmtId="195" fontId="32" fillId="0" borderId="0" applyFill="0" applyBorder="0" applyAlignment="0" applyProtection="0"/>
    <xf numFmtId="0" fontId="24" fillId="0" borderId="0" applyNumberFormat="0" applyFill="0" applyBorder="0" applyAlignment="0" applyProtection="0"/>
    <xf numFmtId="0" fontId="25" fillId="0" borderId="0"/>
    <xf numFmtId="0" fontId="24" fillId="0" borderId="0" applyNumberFormat="0" applyFill="0" applyBorder="0" applyAlignment="0" applyProtection="0"/>
    <xf numFmtId="0" fontId="24" fillId="0" borderId="0" applyNumberFormat="0" applyFill="0" applyBorder="0" applyAlignment="0" applyProtection="0"/>
    <xf numFmtId="0" fontId="26" fillId="0" borderId="0"/>
    <xf numFmtId="0" fontId="26" fillId="0" borderId="0"/>
    <xf numFmtId="0" fontId="26" fillId="0" borderId="0"/>
    <xf numFmtId="0" fontId="32" fillId="0" borderId="0" applyFont="0" applyFill="0" applyBorder="0" applyAlignment="0" applyProtection="0"/>
    <xf numFmtId="0" fontId="32" fillId="0" borderId="0" applyFont="0" applyFill="0" applyBorder="0" applyAlignment="0" applyProtection="0"/>
    <xf numFmtId="0" fontId="38" fillId="0" borderId="0">
      <alignment vertical="top"/>
    </xf>
    <xf numFmtId="0" fontId="24" fillId="0" borderId="0" applyNumberFormat="0" applyFill="0" applyBorder="0" applyAlignment="0" applyProtection="0"/>
    <xf numFmtId="0" fontId="26" fillId="0" borderId="0"/>
    <xf numFmtId="0" fontId="38" fillId="0" borderId="0">
      <alignment vertical="top"/>
    </xf>
    <xf numFmtId="0" fontId="26" fillId="0" borderId="0"/>
    <xf numFmtId="197" fontId="37" fillId="0" borderId="0" applyFont="0" applyFill="0" applyBorder="0" applyAlignment="0" applyProtection="0"/>
    <xf numFmtId="198" fontId="16" fillId="0" borderId="0" applyFont="0" applyFill="0" applyBorder="0" applyAlignment="0" applyProtection="0"/>
    <xf numFmtId="194" fontId="32" fillId="0" borderId="0" applyFill="0" applyBorder="0" applyAlignment="0" applyProtection="0"/>
    <xf numFmtId="198" fontId="16" fillId="0" borderId="0" applyFont="0" applyFill="0" applyBorder="0" applyAlignment="0" applyProtection="0"/>
    <xf numFmtId="194" fontId="32" fillId="0" borderId="0" applyFill="0" applyBorder="0" applyAlignment="0" applyProtection="0"/>
    <xf numFmtId="185" fontId="16" fillId="0" borderId="0" applyFont="0" applyFill="0" applyBorder="0" applyAlignment="0" applyProtection="0"/>
    <xf numFmtId="200" fontId="32" fillId="0" borderId="0" applyFill="0" applyBorder="0" applyAlignment="0" applyProtection="0"/>
    <xf numFmtId="171" fontId="16" fillId="0" borderId="0" applyFont="0" applyFill="0" applyBorder="0" applyAlignment="0" applyProtection="0"/>
    <xf numFmtId="201" fontId="32" fillId="0" borderId="0" applyFill="0" applyBorder="0" applyAlignment="0" applyProtection="0"/>
    <xf numFmtId="202" fontId="37" fillId="0" borderId="0" applyFont="0" applyFill="0" applyBorder="0" applyAlignment="0" applyProtection="0"/>
    <xf numFmtId="171"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202" fontId="37" fillId="0" borderId="0" applyFont="0" applyFill="0" applyBorder="0" applyAlignment="0" applyProtection="0"/>
    <xf numFmtId="169" fontId="37" fillId="0" borderId="0" applyFont="0" applyFill="0" applyBorder="0" applyAlignment="0" applyProtection="0"/>
    <xf numFmtId="171" fontId="37" fillId="0" borderId="0" applyFont="0" applyFill="0" applyBorder="0" applyAlignment="0" applyProtection="0"/>
    <xf numFmtId="171" fontId="37" fillId="0" borderId="0" applyFont="0" applyFill="0" applyBorder="0" applyAlignment="0" applyProtection="0"/>
    <xf numFmtId="171" fontId="37" fillId="0" borderId="0" applyFont="0" applyFill="0" applyBorder="0" applyAlignment="0" applyProtection="0"/>
    <xf numFmtId="169" fontId="37" fillId="0" borderId="0" applyFont="0" applyFill="0" applyBorder="0" applyAlignment="0" applyProtection="0"/>
    <xf numFmtId="203" fontId="37" fillId="0" borderId="0" applyFont="0" applyFill="0" applyBorder="0" applyAlignment="0" applyProtection="0"/>
    <xf numFmtId="171" fontId="37" fillId="0" borderId="0" applyFont="0" applyFill="0" applyBorder="0" applyAlignment="0" applyProtection="0"/>
    <xf numFmtId="169"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171" fontId="37" fillId="0" borderId="0" applyFont="0" applyFill="0" applyBorder="0" applyAlignment="0" applyProtection="0"/>
    <xf numFmtId="43" fontId="37" fillId="0" borderId="0" applyFont="0" applyFill="0" applyBorder="0" applyAlignment="0" applyProtection="0"/>
    <xf numFmtId="203" fontId="37" fillId="0" borderId="0" applyFont="0" applyFill="0" applyBorder="0" applyAlignment="0" applyProtection="0"/>
    <xf numFmtId="171" fontId="37" fillId="0" borderId="0" applyFont="0" applyFill="0" applyBorder="0" applyAlignment="0" applyProtection="0"/>
    <xf numFmtId="171" fontId="37" fillId="0" borderId="0" applyFont="0" applyFill="0" applyBorder="0" applyAlignment="0" applyProtection="0"/>
    <xf numFmtId="203" fontId="37" fillId="0" borderId="0" applyFont="0" applyFill="0" applyBorder="0" applyAlignment="0" applyProtection="0"/>
    <xf numFmtId="203" fontId="37" fillId="0" borderId="0" applyFont="0" applyFill="0" applyBorder="0" applyAlignment="0" applyProtection="0"/>
    <xf numFmtId="203" fontId="37" fillId="0" borderId="0" applyFont="0" applyFill="0" applyBorder="0" applyAlignment="0" applyProtection="0"/>
    <xf numFmtId="43" fontId="37" fillId="0" borderId="0" applyFont="0" applyFill="0" applyBorder="0" applyAlignment="0" applyProtection="0"/>
    <xf numFmtId="169" fontId="37" fillId="0" borderId="0" applyFont="0" applyFill="0" applyBorder="0" applyAlignment="0" applyProtection="0"/>
    <xf numFmtId="171" fontId="37" fillId="0" borderId="0" applyFont="0" applyFill="0" applyBorder="0" applyAlignment="0" applyProtection="0"/>
    <xf numFmtId="203" fontId="37" fillId="0" borderId="0" applyFont="0" applyFill="0" applyBorder="0" applyAlignment="0" applyProtection="0"/>
    <xf numFmtId="204" fontId="32" fillId="0" borderId="0" applyFill="0" applyBorder="0" applyAlignment="0" applyProtection="0"/>
    <xf numFmtId="169" fontId="37" fillId="0" borderId="0" applyFont="0" applyFill="0" applyBorder="0" applyAlignment="0" applyProtection="0"/>
    <xf numFmtId="203" fontId="37" fillId="0" borderId="0" applyFont="0" applyFill="0" applyBorder="0" applyAlignment="0" applyProtection="0"/>
    <xf numFmtId="203" fontId="37" fillId="0" borderId="0" applyFont="0" applyFill="0" applyBorder="0" applyAlignment="0" applyProtection="0"/>
    <xf numFmtId="204" fontId="32" fillId="0" borderId="0" applyFill="0" applyBorder="0" applyAlignment="0" applyProtection="0"/>
    <xf numFmtId="169" fontId="37" fillId="0" borderId="0" applyFont="0" applyFill="0" applyBorder="0" applyAlignment="0" applyProtection="0"/>
    <xf numFmtId="171" fontId="37" fillId="0" borderId="0" applyFont="0" applyFill="0" applyBorder="0" applyAlignment="0" applyProtection="0"/>
    <xf numFmtId="169" fontId="37" fillId="0" borderId="0" applyFont="0" applyFill="0" applyBorder="0" applyAlignment="0" applyProtection="0"/>
    <xf numFmtId="205" fontId="37" fillId="0" borderId="0" applyFont="0" applyFill="0" applyBorder="0" applyAlignment="0" applyProtection="0"/>
    <xf numFmtId="206" fontId="32" fillId="0" borderId="0" applyFill="0" applyBorder="0" applyAlignment="0" applyProtection="0"/>
    <xf numFmtId="207" fontId="37" fillId="0" borderId="0" applyFont="0" applyFill="0" applyBorder="0" applyAlignment="0" applyProtection="0"/>
    <xf numFmtId="203" fontId="37" fillId="0" borderId="0" applyFont="0" applyFill="0" applyBorder="0" applyAlignment="0" applyProtection="0"/>
    <xf numFmtId="169" fontId="37" fillId="0" borderId="0" applyFont="0" applyFill="0" applyBorder="0" applyAlignment="0" applyProtection="0"/>
    <xf numFmtId="169" fontId="37" fillId="0" borderId="0" applyFont="0" applyFill="0" applyBorder="0" applyAlignment="0" applyProtection="0"/>
    <xf numFmtId="169" fontId="37" fillId="0" borderId="0" applyFont="0" applyFill="0" applyBorder="0" applyAlignment="0" applyProtection="0"/>
    <xf numFmtId="170" fontId="16" fillId="0" borderId="0" applyFont="0" applyFill="0" applyBorder="0" applyAlignment="0" applyProtection="0"/>
    <xf numFmtId="208" fontId="32" fillId="0" borderId="0" applyFill="0" applyBorder="0" applyAlignment="0" applyProtection="0"/>
    <xf numFmtId="197" fontId="37" fillId="0" borderId="0" applyFont="0" applyFill="0" applyBorder="0" applyAlignment="0" applyProtection="0"/>
    <xf numFmtId="197"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95" fontId="32" fillId="0" borderId="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95" fontId="32" fillId="0" borderId="0" applyFill="0" applyBorder="0" applyAlignment="0" applyProtection="0"/>
    <xf numFmtId="209" fontId="37" fillId="0" borderId="0" applyFont="0" applyFill="0" applyBorder="0" applyAlignment="0" applyProtection="0"/>
    <xf numFmtId="210" fontId="37" fillId="0" borderId="0" applyFont="0" applyFill="0" applyBorder="0" applyAlignment="0" applyProtection="0"/>
    <xf numFmtId="210" fontId="37" fillId="0" borderId="0" applyFont="0" applyFill="0" applyBorder="0" applyAlignment="0" applyProtection="0"/>
    <xf numFmtId="209" fontId="16" fillId="0" borderId="0" applyFont="0" applyFill="0" applyBorder="0" applyAlignment="0" applyProtection="0"/>
    <xf numFmtId="210" fontId="37" fillId="0" borderId="0" applyFont="0" applyFill="0" applyBorder="0" applyAlignment="0" applyProtection="0"/>
    <xf numFmtId="209" fontId="37" fillId="0" borderId="0" applyFont="0" applyFill="0" applyBorder="0" applyAlignment="0" applyProtection="0"/>
    <xf numFmtId="211" fontId="37" fillId="0" borderId="0" applyFont="0" applyFill="0" applyBorder="0" applyAlignment="0" applyProtection="0"/>
    <xf numFmtId="212" fontId="32" fillId="0" borderId="0" applyFill="0" applyBorder="0" applyAlignment="0" applyProtection="0"/>
    <xf numFmtId="166" fontId="37" fillId="0" borderId="0" applyFont="0" applyFill="0" applyBorder="0" applyAlignment="0" applyProtection="0"/>
    <xf numFmtId="202" fontId="37" fillId="0" borderId="0" applyFont="0" applyFill="0" applyBorder="0" applyAlignment="0" applyProtection="0"/>
    <xf numFmtId="171"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202" fontId="37" fillId="0" borderId="0" applyFont="0" applyFill="0" applyBorder="0" applyAlignment="0" applyProtection="0"/>
    <xf numFmtId="169" fontId="37" fillId="0" borderId="0" applyFont="0" applyFill="0" applyBorder="0" applyAlignment="0" applyProtection="0"/>
    <xf numFmtId="171" fontId="37" fillId="0" borderId="0" applyFont="0" applyFill="0" applyBorder="0" applyAlignment="0" applyProtection="0"/>
    <xf numFmtId="171" fontId="37" fillId="0" borderId="0" applyFont="0" applyFill="0" applyBorder="0" applyAlignment="0" applyProtection="0"/>
    <xf numFmtId="171" fontId="37" fillId="0" borderId="0" applyFont="0" applyFill="0" applyBorder="0" applyAlignment="0" applyProtection="0"/>
    <xf numFmtId="169" fontId="37" fillId="0" borderId="0" applyFont="0" applyFill="0" applyBorder="0" applyAlignment="0" applyProtection="0"/>
    <xf numFmtId="203" fontId="37" fillId="0" borderId="0" applyFont="0" applyFill="0" applyBorder="0" applyAlignment="0" applyProtection="0"/>
    <xf numFmtId="171" fontId="37" fillId="0" borderId="0" applyFont="0" applyFill="0" applyBorder="0" applyAlignment="0" applyProtection="0"/>
    <xf numFmtId="169"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171" fontId="37" fillId="0" borderId="0" applyFont="0" applyFill="0" applyBorder="0" applyAlignment="0" applyProtection="0"/>
    <xf numFmtId="43" fontId="37" fillId="0" borderId="0" applyFont="0" applyFill="0" applyBorder="0" applyAlignment="0" applyProtection="0"/>
    <xf numFmtId="203" fontId="37" fillId="0" borderId="0" applyFont="0" applyFill="0" applyBorder="0" applyAlignment="0" applyProtection="0"/>
    <xf numFmtId="171" fontId="37" fillId="0" borderId="0" applyFont="0" applyFill="0" applyBorder="0" applyAlignment="0" applyProtection="0"/>
    <xf numFmtId="171" fontId="37" fillId="0" borderId="0" applyFont="0" applyFill="0" applyBorder="0" applyAlignment="0" applyProtection="0"/>
    <xf numFmtId="203" fontId="37" fillId="0" borderId="0" applyFont="0" applyFill="0" applyBorder="0" applyAlignment="0" applyProtection="0"/>
    <xf numFmtId="203" fontId="37" fillId="0" borderId="0" applyFont="0" applyFill="0" applyBorder="0" applyAlignment="0" applyProtection="0"/>
    <xf numFmtId="203" fontId="37" fillId="0" borderId="0" applyFont="0" applyFill="0" applyBorder="0" applyAlignment="0" applyProtection="0"/>
    <xf numFmtId="43" fontId="37" fillId="0" borderId="0" applyFont="0" applyFill="0" applyBorder="0" applyAlignment="0" applyProtection="0"/>
    <xf numFmtId="169" fontId="37" fillId="0" borderId="0" applyFont="0" applyFill="0" applyBorder="0" applyAlignment="0" applyProtection="0"/>
    <xf numFmtId="171" fontId="37" fillId="0" borderId="0" applyFont="0" applyFill="0" applyBorder="0" applyAlignment="0" applyProtection="0"/>
    <xf numFmtId="203" fontId="37" fillId="0" borderId="0" applyFont="0" applyFill="0" applyBorder="0" applyAlignment="0" applyProtection="0"/>
    <xf numFmtId="204" fontId="32" fillId="0" borderId="0" applyFill="0" applyBorder="0" applyAlignment="0" applyProtection="0"/>
    <xf numFmtId="169" fontId="37" fillId="0" borderId="0" applyFont="0" applyFill="0" applyBorder="0" applyAlignment="0" applyProtection="0"/>
    <xf numFmtId="203" fontId="37" fillId="0" borderId="0" applyFont="0" applyFill="0" applyBorder="0" applyAlignment="0" applyProtection="0"/>
    <xf numFmtId="203" fontId="37" fillId="0" borderId="0" applyFont="0" applyFill="0" applyBorder="0" applyAlignment="0" applyProtection="0"/>
    <xf numFmtId="204" fontId="32" fillId="0" borderId="0" applyFill="0" applyBorder="0" applyAlignment="0" applyProtection="0"/>
    <xf numFmtId="169" fontId="37" fillId="0" borderId="0" applyFont="0" applyFill="0" applyBorder="0" applyAlignment="0" applyProtection="0"/>
    <xf numFmtId="171" fontId="37" fillId="0" borderId="0" applyFont="0" applyFill="0" applyBorder="0" applyAlignment="0" applyProtection="0"/>
    <xf numFmtId="169" fontId="37" fillId="0" borderId="0" applyFont="0" applyFill="0" applyBorder="0" applyAlignment="0" applyProtection="0"/>
    <xf numFmtId="205" fontId="37" fillId="0" borderId="0" applyFont="0" applyFill="0" applyBorder="0" applyAlignment="0" applyProtection="0"/>
    <xf numFmtId="206" fontId="32" fillId="0" borderId="0" applyFill="0" applyBorder="0" applyAlignment="0" applyProtection="0"/>
    <xf numFmtId="207" fontId="37" fillId="0" borderId="0" applyFont="0" applyFill="0" applyBorder="0" applyAlignment="0" applyProtection="0"/>
    <xf numFmtId="171" fontId="16" fillId="0" borderId="0" applyFont="0" applyFill="0" applyBorder="0" applyAlignment="0" applyProtection="0"/>
    <xf numFmtId="201" fontId="32" fillId="0" borderId="0" applyFill="0" applyBorder="0" applyAlignment="0" applyProtection="0"/>
    <xf numFmtId="203" fontId="37" fillId="0" borderId="0" applyFont="0" applyFill="0" applyBorder="0" applyAlignment="0" applyProtection="0"/>
    <xf numFmtId="169" fontId="37" fillId="0" borderId="0" applyFont="0" applyFill="0" applyBorder="0" applyAlignment="0" applyProtection="0"/>
    <xf numFmtId="169" fontId="37" fillId="0" borderId="0" applyFont="0" applyFill="0" applyBorder="0" applyAlignment="0" applyProtection="0"/>
    <xf numFmtId="169" fontId="37" fillId="0" borderId="0" applyFont="0" applyFill="0" applyBorder="0" applyAlignment="0" applyProtection="0"/>
    <xf numFmtId="213" fontId="37" fillId="0" borderId="0" applyFont="0" applyFill="0" applyBorder="0" applyAlignment="0" applyProtection="0"/>
    <xf numFmtId="170"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213" fontId="37" fillId="0" borderId="0" applyFont="0" applyFill="0" applyBorder="0" applyAlignment="0" applyProtection="0"/>
    <xf numFmtId="167"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67" fontId="37" fillId="0" borderId="0" applyFont="0" applyFill="0" applyBorder="0" applyAlignment="0" applyProtection="0"/>
    <xf numFmtId="196" fontId="37" fillId="0" borderId="0" applyFont="0" applyFill="0" applyBorder="0" applyAlignment="0" applyProtection="0"/>
    <xf numFmtId="170" fontId="37" fillId="0" borderId="0" applyFont="0" applyFill="0" applyBorder="0" applyAlignment="0" applyProtection="0"/>
    <xf numFmtId="167"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170" fontId="37" fillId="0" borderId="0" applyFont="0" applyFill="0" applyBorder="0" applyAlignment="0" applyProtection="0"/>
    <xf numFmtId="41" fontId="37" fillId="0" borderId="0" applyFont="0" applyFill="0" applyBorder="0" applyAlignment="0" applyProtection="0"/>
    <xf numFmtId="196"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96" fontId="37" fillId="0" borderId="0" applyFont="0" applyFill="0" applyBorder="0" applyAlignment="0" applyProtection="0"/>
    <xf numFmtId="196" fontId="37" fillId="0" borderId="0" applyFont="0" applyFill="0" applyBorder="0" applyAlignment="0" applyProtection="0"/>
    <xf numFmtId="196" fontId="37" fillId="0" borderId="0" applyFont="0" applyFill="0" applyBorder="0" applyAlignment="0" applyProtection="0"/>
    <xf numFmtId="41" fontId="37" fillId="0" borderId="0" applyFont="0" applyFill="0" applyBorder="0" applyAlignment="0" applyProtection="0"/>
    <xf numFmtId="167" fontId="37" fillId="0" borderId="0" applyFont="0" applyFill="0" applyBorder="0" applyAlignment="0" applyProtection="0"/>
    <xf numFmtId="170" fontId="37" fillId="0" borderId="0" applyFont="0" applyFill="0" applyBorder="0" applyAlignment="0" applyProtection="0"/>
    <xf numFmtId="196" fontId="37" fillId="0" borderId="0" applyFont="0" applyFill="0" applyBorder="0" applyAlignment="0" applyProtection="0"/>
    <xf numFmtId="192" fontId="32" fillId="0" borderId="0" applyFill="0" applyBorder="0" applyAlignment="0" applyProtection="0"/>
    <xf numFmtId="167" fontId="37" fillId="0" borderId="0" applyFont="0" applyFill="0" applyBorder="0" applyAlignment="0" applyProtection="0"/>
    <xf numFmtId="196" fontId="37" fillId="0" borderId="0" applyFont="0" applyFill="0" applyBorder="0" applyAlignment="0" applyProtection="0"/>
    <xf numFmtId="196" fontId="37" fillId="0" borderId="0" applyFont="0" applyFill="0" applyBorder="0" applyAlignment="0" applyProtection="0"/>
    <xf numFmtId="192" fontId="32" fillId="0" borderId="0" applyFill="0" applyBorder="0" applyAlignment="0" applyProtection="0"/>
    <xf numFmtId="167" fontId="37" fillId="0" borderId="0" applyFont="0" applyFill="0" applyBorder="0" applyAlignment="0" applyProtection="0"/>
    <xf numFmtId="170" fontId="37" fillId="0" borderId="0" applyFont="0" applyFill="0" applyBorder="0" applyAlignment="0" applyProtection="0"/>
    <xf numFmtId="167" fontId="37" fillId="0" borderId="0" applyFont="0" applyFill="0" applyBorder="0" applyAlignment="0" applyProtection="0"/>
    <xf numFmtId="214" fontId="37" fillId="0" borderId="0" applyFont="0" applyFill="0" applyBorder="0" applyAlignment="0" applyProtection="0"/>
    <xf numFmtId="215" fontId="32" fillId="0" borderId="0" applyFill="0" applyBorder="0" applyAlignment="0" applyProtection="0"/>
    <xf numFmtId="216" fontId="37" fillId="0" borderId="0" applyFont="0" applyFill="0" applyBorder="0" applyAlignment="0" applyProtection="0"/>
    <xf numFmtId="196"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97"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95" fontId="32" fillId="0" borderId="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95" fontId="32" fillId="0" borderId="0" applyFill="0" applyBorder="0" applyAlignment="0" applyProtection="0"/>
    <xf numFmtId="209" fontId="37" fillId="0" borderId="0" applyFont="0" applyFill="0" applyBorder="0" applyAlignment="0" applyProtection="0"/>
    <xf numFmtId="210" fontId="37" fillId="0" borderId="0" applyFont="0" applyFill="0" applyBorder="0" applyAlignment="0" applyProtection="0"/>
    <xf numFmtId="210" fontId="37" fillId="0" borderId="0" applyFont="0" applyFill="0" applyBorder="0" applyAlignment="0" applyProtection="0"/>
    <xf numFmtId="209" fontId="16" fillId="0" borderId="0" applyFont="0" applyFill="0" applyBorder="0" applyAlignment="0" applyProtection="0"/>
    <xf numFmtId="210" fontId="37" fillId="0" borderId="0" applyFont="0" applyFill="0" applyBorder="0" applyAlignment="0" applyProtection="0"/>
    <xf numFmtId="209" fontId="37" fillId="0" borderId="0" applyFont="0" applyFill="0" applyBorder="0" applyAlignment="0" applyProtection="0"/>
    <xf numFmtId="211" fontId="37" fillId="0" borderId="0" applyFont="0" applyFill="0" applyBorder="0" applyAlignment="0" applyProtection="0"/>
    <xf numFmtId="212" fontId="32" fillId="0" borderId="0" applyFill="0" applyBorder="0" applyAlignment="0" applyProtection="0"/>
    <xf numFmtId="170" fontId="16" fillId="0" borderId="0" applyFont="0" applyFill="0" applyBorder="0" applyAlignment="0" applyProtection="0"/>
    <xf numFmtId="208" fontId="32" fillId="0" borderId="0" applyFill="0" applyBorder="0" applyAlignment="0" applyProtection="0"/>
    <xf numFmtId="166" fontId="37" fillId="0" borderId="0" applyFont="0" applyFill="0" applyBorder="0" applyAlignment="0" applyProtection="0"/>
    <xf numFmtId="171" fontId="16" fillId="0" borderId="0" applyFont="0" applyFill="0" applyBorder="0" applyAlignment="0" applyProtection="0"/>
    <xf numFmtId="213" fontId="37" fillId="0" borderId="0" applyFont="0" applyFill="0" applyBorder="0" applyAlignment="0" applyProtection="0"/>
    <xf numFmtId="170"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213" fontId="37" fillId="0" borderId="0" applyFont="0" applyFill="0" applyBorder="0" applyAlignment="0" applyProtection="0"/>
    <xf numFmtId="167"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67" fontId="37" fillId="0" borderId="0" applyFont="0" applyFill="0" applyBorder="0" applyAlignment="0" applyProtection="0"/>
    <xf numFmtId="196" fontId="37" fillId="0" borderId="0" applyFont="0" applyFill="0" applyBorder="0" applyAlignment="0" applyProtection="0"/>
    <xf numFmtId="170" fontId="37" fillId="0" borderId="0" applyFont="0" applyFill="0" applyBorder="0" applyAlignment="0" applyProtection="0"/>
    <xf numFmtId="167"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170" fontId="37" fillId="0" borderId="0" applyFont="0" applyFill="0" applyBorder="0" applyAlignment="0" applyProtection="0"/>
    <xf numFmtId="41" fontId="37" fillId="0" borderId="0" applyFont="0" applyFill="0" applyBorder="0" applyAlignment="0" applyProtection="0"/>
    <xf numFmtId="196"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96" fontId="37" fillId="0" borderId="0" applyFont="0" applyFill="0" applyBorder="0" applyAlignment="0" applyProtection="0"/>
    <xf numFmtId="196" fontId="37" fillId="0" borderId="0" applyFont="0" applyFill="0" applyBorder="0" applyAlignment="0" applyProtection="0"/>
    <xf numFmtId="196" fontId="37" fillId="0" borderId="0" applyFont="0" applyFill="0" applyBorder="0" applyAlignment="0" applyProtection="0"/>
    <xf numFmtId="41" fontId="37" fillId="0" borderId="0" applyFont="0" applyFill="0" applyBorder="0" applyAlignment="0" applyProtection="0"/>
    <xf numFmtId="167" fontId="37" fillId="0" borderId="0" applyFont="0" applyFill="0" applyBorder="0" applyAlignment="0" applyProtection="0"/>
    <xf numFmtId="170" fontId="37" fillId="0" borderId="0" applyFont="0" applyFill="0" applyBorder="0" applyAlignment="0" applyProtection="0"/>
    <xf numFmtId="196" fontId="37" fillId="0" borderId="0" applyFont="0" applyFill="0" applyBorder="0" applyAlignment="0" applyProtection="0"/>
    <xf numFmtId="192" fontId="32" fillId="0" borderId="0" applyFill="0" applyBorder="0" applyAlignment="0" applyProtection="0"/>
    <xf numFmtId="167" fontId="37" fillId="0" borderId="0" applyFont="0" applyFill="0" applyBorder="0" applyAlignment="0" applyProtection="0"/>
    <xf numFmtId="196" fontId="37" fillId="0" borderId="0" applyFont="0" applyFill="0" applyBorder="0" applyAlignment="0" applyProtection="0"/>
    <xf numFmtId="196" fontId="37" fillId="0" borderId="0" applyFont="0" applyFill="0" applyBorder="0" applyAlignment="0" applyProtection="0"/>
    <xf numFmtId="192" fontId="32" fillId="0" borderId="0" applyFill="0" applyBorder="0" applyAlignment="0" applyProtection="0"/>
    <xf numFmtId="167" fontId="37" fillId="0" borderId="0" applyFont="0" applyFill="0" applyBorder="0" applyAlignment="0" applyProtection="0"/>
    <xf numFmtId="170" fontId="37" fillId="0" borderId="0" applyFont="0" applyFill="0" applyBorder="0" applyAlignment="0" applyProtection="0"/>
    <xf numFmtId="167" fontId="37" fillId="0" borderId="0" applyFont="0" applyFill="0" applyBorder="0" applyAlignment="0" applyProtection="0"/>
    <xf numFmtId="214" fontId="37" fillId="0" borderId="0" applyFont="0" applyFill="0" applyBorder="0" applyAlignment="0" applyProtection="0"/>
    <xf numFmtId="215" fontId="32" fillId="0" borderId="0" applyFill="0" applyBorder="0" applyAlignment="0" applyProtection="0"/>
    <xf numFmtId="216" fontId="37" fillId="0" borderId="0" applyFont="0" applyFill="0" applyBorder="0" applyAlignment="0" applyProtection="0"/>
    <xf numFmtId="196"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202" fontId="37" fillId="0" borderId="0" applyFont="0" applyFill="0" applyBorder="0" applyAlignment="0" applyProtection="0"/>
    <xf numFmtId="171"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202" fontId="37" fillId="0" borderId="0" applyFont="0" applyFill="0" applyBorder="0" applyAlignment="0" applyProtection="0"/>
    <xf numFmtId="169" fontId="37" fillId="0" borderId="0" applyFont="0" applyFill="0" applyBorder="0" applyAlignment="0" applyProtection="0"/>
    <xf numFmtId="171" fontId="37" fillId="0" borderId="0" applyFont="0" applyFill="0" applyBorder="0" applyAlignment="0" applyProtection="0"/>
    <xf numFmtId="171" fontId="37" fillId="0" borderId="0" applyFont="0" applyFill="0" applyBorder="0" applyAlignment="0" applyProtection="0"/>
    <xf numFmtId="171" fontId="37" fillId="0" borderId="0" applyFont="0" applyFill="0" applyBorder="0" applyAlignment="0" applyProtection="0"/>
    <xf numFmtId="169" fontId="37" fillId="0" borderId="0" applyFont="0" applyFill="0" applyBorder="0" applyAlignment="0" applyProtection="0"/>
    <xf numFmtId="203" fontId="37" fillId="0" borderId="0" applyFont="0" applyFill="0" applyBorder="0" applyAlignment="0" applyProtection="0"/>
    <xf numFmtId="171" fontId="37" fillId="0" borderId="0" applyFont="0" applyFill="0" applyBorder="0" applyAlignment="0" applyProtection="0"/>
    <xf numFmtId="169"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171" fontId="37" fillId="0" borderId="0" applyFont="0" applyFill="0" applyBorder="0" applyAlignment="0" applyProtection="0"/>
    <xf numFmtId="43" fontId="37" fillId="0" borderId="0" applyFont="0" applyFill="0" applyBorder="0" applyAlignment="0" applyProtection="0"/>
    <xf numFmtId="203" fontId="37" fillId="0" borderId="0" applyFont="0" applyFill="0" applyBorder="0" applyAlignment="0" applyProtection="0"/>
    <xf numFmtId="171" fontId="37" fillId="0" borderId="0" applyFont="0" applyFill="0" applyBorder="0" applyAlignment="0" applyProtection="0"/>
    <xf numFmtId="171" fontId="37" fillId="0" borderId="0" applyFont="0" applyFill="0" applyBorder="0" applyAlignment="0" applyProtection="0"/>
    <xf numFmtId="203" fontId="37" fillId="0" borderId="0" applyFont="0" applyFill="0" applyBorder="0" applyAlignment="0" applyProtection="0"/>
    <xf numFmtId="203" fontId="37" fillId="0" borderId="0" applyFont="0" applyFill="0" applyBorder="0" applyAlignment="0" applyProtection="0"/>
    <xf numFmtId="203" fontId="37" fillId="0" borderId="0" applyFont="0" applyFill="0" applyBorder="0" applyAlignment="0" applyProtection="0"/>
    <xf numFmtId="43" fontId="37" fillId="0" borderId="0" applyFont="0" applyFill="0" applyBorder="0" applyAlignment="0" applyProtection="0"/>
    <xf numFmtId="169" fontId="37" fillId="0" borderId="0" applyFont="0" applyFill="0" applyBorder="0" applyAlignment="0" applyProtection="0"/>
    <xf numFmtId="171" fontId="37" fillId="0" borderId="0" applyFont="0" applyFill="0" applyBorder="0" applyAlignment="0" applyProtection="0"/>
    <xf numFmtId="203" fontId="37" fillId="0" borderId="0" applyFont="0" applyFill="0" applyBorder="0" applyAlignment="0" applyProtection="0"/>
    <xf numFmtId="204" fontId="32" fillId="0" borderId="0" applyFill="0" applyBorder="0" applyAlignment="0" applyProtection="0"/>
    <xf numFmtId="169" fontId="37" fillId="0" borderId="0" applyFont="0" applyFill="0" applyBorder="0" applyAlignment="0" applyProtection="0"/>
    <xf numFmtId="203" fontId="37" fillId="0" borderId="0" applyFont="0" applyFill="0" applyBorder="0" applyAlignment="0" applyProtection="0"/>
    <xf numFmtId="203" fontId="37" fillId="0" borderId="0" applyFont="0" applyFill="0" applyBorder="0" applyAlignment="0" applyProtection="0"/>
    <xf numFmtId="204" fontId="32" fillId="0" borderId="0" applyFill="0" applyBorder="0" applyAlignment="0" applyProtection="0"/>
    <xf numFmtId="169" fontId="37" fillId="0" borderId="0" applyFont="0" applyFill="0" applyBorder="0" applyAlignment="0" applyProtection="0"/>
    <xf numFmtId="171" fontId="37" fillId="0" borderId="0" applyFont="0" applyFill="0" applyBorder="0" applyAlignment="0" applyProtection="0"/>
    <xf numFmtId="169" fontId="37" fillId="0" borderId="0" applyFont="0" applyFill="0" applyBorder="0" applyAlignment="0" applyProtection="0"/>
    <xf numFmtId="205" fontId="37" fillId="0" borderId="0" applyFont="0" applyFill="0" applyBorder="0" applyAlignment="0" applyProtection="0"/>
    <xf numFmtId="206" fontId="32" fillId="0" borderId="0" applyFill="0" applyBorder="0" applyAlignment="0" applyProtection="0"/>
    <xf numFmtId="207" fontId="37" fillId="0" borderId="0" applyFont="0" applyFill="0" applyBorder="0" applyAlignment="0" applyProtection="0"/>
    <xf numFmtId="203" fontId="37" fillId="0" borderId="0" applyFont="0" applyFill="0" applyBorder="0" applyAlignment="0" applyProtection="0"/>
    <xf numFmtId="169" fontId="37" fillId="0" borderId="0" applyFont="0" applyFill="0" applyBorder="0" applyAlignment="0" applyProtection="0"/>
    <xf numFmtId="169" fontId="37" fillId="0" borderId="0" applyFont="0" applyFill="0" applyBorder="0" applyAlignment="0" applyProtection="0"/>
    <xf numFmtId="169" fontId="37" fillId="0" borderId="0" applyFont="0" applyFill="0" applyBorder="0" applyAlignment="0" applyProtection="0"/>
    <xf numFmtId="170" fontId="16" fillId="0" borderId="0" applyFont="0" applyFill="0" applyBorder="0" applyAlignment="0" applyProtection="0"/>
    <xf numFmtId="208" fontId="32" fillId="0" borderId="0" applyFill="0" applyBorder="0" applyAlignment="0" applyProtection="0"/>
    <xf numFmtId="198" fontId="16" fillId="0" borderId="0" applyFont="0" applyFill="0" applyBorder="0" applyAlignment="0" applyProtection="0"/>
    <xf numFmtId="194" fontId="32" fillId="0" borderId="0" applyFill="0" applyBorder="0" applyAlignment="0" applyProtection="0"/>
    <xf numFmtId="198" fontId="16" fillId="0" borderId="0" applyFont="0" applyFill="0" applyBorder="0" applyAlignment="0" applyProtection="0"/>
    <xf numFmtId="194" fontId="32" fillId="0" borderId="0" applyFill="0" applyBorder="0" applyAlignment="0" applyProtection="0"/>
    <xf numFmtId="185" fontId="16" fillId="0" borderId="0" applyFont="0" applyFill="0" applyBorder="0" applyAlignment="0" applyProtection="0"/>
    <xf numFmtId="200" fontId="32" fillId="0" borderId="0" applyFill="0" applyBorder="0" applyAlignment="0" applyProtection="0"/>
    <xf numFmtId="201" fontId="32" fillId="0" borderId="0" applyFill="0" applyBorder="0" applyAlignment="0" applyProtection="0"/>
    <xf numFmtId="166" fontId="37" fillId="0" borderId="0" applyFont="0" applyFill="0" applyBorder="0" applyAlignment="0" applyProtection="0"/>
    <xf numFmtId="195" fontId="32" fillId="0" borderId="0" applyFill="0" applyBorder="0" applyAlignment="0" applyProtection="0"/>
    <xf numFmtId="166" fontId="37" fillId="0" borderId="0" applyFont="0" applyFill="0" applyBorder="0" applyAlignment="0" applyProtection="0"/>
    <xf numFmtId="0" fontId="38" fillId="0" borderId="0">
      <alignment vertical="top"/>
    </xf>
    <xf numFmtId="166" fontId="37" fillId="0" borderId="0" applyFont="0" applyFill="0" applyBorder="0" applyAlignment="0" applyProtection="0"/>
    <xf numFmtId="0" fontId="24" fillId="0" borderId="0" applyNumberFormat="0" applyFill="0" applyBorder="0" applyAlignment="0" applyProtection="0"/>
    <xf numFmtId="0" fontId="38" fillId="0" borderId="0">
      <alignment vertical="top"/>
    </xf>
    <xf numFmtId="166" fontId="37" fillId="0" borderId="0" applyFont="0" applyFill="0" applyBorder="0" applyAlignment="0" applyProtection="0"/>
    <xf numFmtId="0" fontId="24" fillId="0" borderId="0" applyNumberFormat="0" applyFill="0" applyBorder="0" applyAlignment="0" applyProtection="0"/>
    <xf numFmtId="209" fontId="37" fillId="0" borderId="0" applyFont="0" applyFill="0" applyBorder="0" applyAlignment="0" applyProtection="0"/>
    <xf numFmtId="210" fontId="37" fillId="0" borderId="0" applyFont="0" applyFill="0" applyBorder="0" applyAlignment="0" applyProtection="0"/>
    <xf numFmtId="210" fontId="37" fillId="0" borderId="0" applyFont="0" applyFill="0" applyBorder="0" applyAlignment="0" applyProtection="0"/>
    <xf numFmtId="209" fontId="16" fillId="0" borderId="0" applyFont="0" applyFill="0" applyBorder="0" applyAlignment="0" applyProtection="0"/>
    <xf numFmtId="210" fontId="37" fillId="0" borderId="0" applyFont="0" applyFill="0" applyBorder="0" applyAlignment="0" applyProtection="0"/>
    <xf numFmtId="209" fontId="37" fillId="0" borderId="0" applyFont="0" applyFill="0" applyBorder="0" applyAlignment="0" applyProtection="0"/>
    <xf numFmtId="0" fontId="24" fillId="0" borderId="0" applyNumberFormat="0" applyFill="0" applyBorder="0" applyAlignment="0" applyProtection="0"/>
    <xf numFmtId="0" fontId="38" fillId="0" borderId="0">
      <alignment vertical="top"/>
    </xf>
    <xf numFmtId="0" fontId="26" fillId="0" borderId="0"/>
    <xf numFmtId="0" fontId="38" fillId="0" borderId="0">
      <alignment vertical="top"/>
    </xf>
    <xf numFmtId="166" fontId="37" fillId="0" borderId="0" applyFont="0" applyFill="0" applyBorder="0" applyAlignment="0" applyProtection="0"/>
    <xf numFmtId="166" fontId="37" fillId="0" borderId="0" applyFont="0" applyFill="0" applyBorder="0" applyAlignment="0" applyProtection="0"/>
    <xf numFmtId="0" fontId="38" fillId="0" borderId="0">
      <alignment vertical="top"/>
    </xf>
    <xf numFmtId="0" fontId="26" fillId="0" borderId="0"/>
    <xf numFmtId="0" fontId="26" fillId="0" borderId="0"/>
    <xf numFmtId="211" fontId="37" fillId="0" borderId="0" applyFont="0" applyFill="0" applyBorder="0" applyAlignment="0" applyProtection="0"/>
    <xf numFmtId="212" fontId="32" fillId="0" borderId="0" applyFill="0" applyBorder="0" applyAlignment="0" applyProtection="0"/>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0" fontId="38" fillId="0" borderId="0">
      <alignment vertical="top"/>
    </xf>
    <xf numFmtId="166" fontId="37" fillId="0" borderId="0" applyFont="0" applyFill="0" applyBorder="0" applyAlignment="0" applyProtection="0"/>
    <xf numFmtId="166" fontId="37" fillId="0" borderId="0" applyFont="0" applyFill="0" applyBorder="0" applyAlignment="0" applyProtection="0"/>
    <xf numFmtId="170" fontId="16" fillId="0" borderId="0" applyFont="0" applyFill="0" applyBorder="0" applyAlignment="0" applyProtection="0"/>
    <xf numFmtId="213" fontId="37" fillId="0" borderId="0" applyFont="0" applyFill="0" applyBorder="0" applyAlignment="0" applyProtection="0"/>
    <xf numFmtId="170"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213" fontId="37" fillId="0" borderId="0" applyFont="0" applyFill="0" applyBorder="0" applyAlignment="0" applyProtection="0"/>
    <xf numFmtId="167"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67" fontId="37" fillId="0" borderId="0" applyFont="0" applyFill="0" applyBorder="0" applyAlignment="0" applyProtection="0"/>
    <xf numFmtId="196" fontId="37" fillId="0" borderId="0" applyFont="0" applyFill="0" applyBorder="0" applyAlignment="0" applyProtection="0"/>
    <xf numFmtId="170" fontId="37" fillId="0" borderId="0" applyFont="0" applyFill="0" applyBorder="0" applyAlignment="0" applyProtection="0"/>
    <xf numFmtId="167"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170" fontId="37" fillId="0" borderId="0" applyFont="0" applyFill="0" applyBorder="0" applyAlignment="0" applyProtection="0"/>
    <xf numFmtId="41" fontId="37" fillId="0" borderId="0" applyFont="0" applyFill="0" applyBorder="0" applyAlignment="0" applyProtection="0"/>
    <xf numFmtId="196"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96" fontId="37" fillId="0" borderId="0" applyFont="0" applyFill="0" applyBorder="0" applyAlignment="0" applyProtection="0"/>
    <xf numFmtId="196" fontId="37" fillId="0" borderId="0" applyFont="0" applyFill="0" applyBorder="0" applyAlignment="0" applyProtection="0"/>
    <xf numFmtId="196" fontId="37" fillId="0" borderId="0" applyFont="0" applyFill="0" applyBorder="0" applyAlignment="0" applyProtection="0"/>
    <xf numFmtId="41" fontId="37" fillId="0" borderId="0" applyFont="0" applyFill="0" applyBorder="0" applyAlignment="0" applyProtection="0"/>
    <xf numFmtId="167" fontId="37" fillId="0" borderId="0" applyFont="0" applyFill="0" applyBorder="0" applyAlignment="0" applyProtection="0"/>
    <xf numFmtId="170" fontId="37" fillId="0" borderId="0" applyFont="0" applyFill="0" applyBorder="0" applyAlignment="0" applyProtection="0"/>
    <xf numFmtId="196" fontId="37" fillId="0" borderId="0" applyFont="0" applyFill="0" applyBorder="0" applyAlignment="0" applyProtection="0"/>
    <xf numFmtId="192" fontId="32" fillId="0" borderId="0" applyFill="0" applyBorder="0" applyAlignment="0" applyProtection="0"/>
    <xf numFmtId="167" fontId="37" fillId="0" borderId="0" applyFont="0" applyFill="0" applyBorder="0" applyAlignment="0" applyProtection="0"/>
    <xf numFmtId="196" fontId="37" fillId="0" borderId="0" applyFont="0" applyFill="0" applyBorder="0" applyAlignment="0" applyProtection="0"/>
    <xf numFmtId="196" fontId="37" fillId="0" borderId="0" applyFont="0" applyFill="0" applyBorder="0" applyAlignment="0" applyProtection="0"/>
    <xf numFmtId="192" fontId="32" fillId="0" borderId="0" applyFill="0" applyBorder="0" applyAlignment="0" applyProtection="0"/>
    <xf numFmtId="167" fontId="37" fillId="0" borderId="0" applyFont="0" applyFill="0" applyBorder="0" applyAlignment="0" applyProtection="0"/>
    <xf numFmtId="170" fontId="37" fillId="0" borderId="0" applyFont="0" applyFill="0" applyBorder="0" applyAlignment="0" applyProtection="0"/>
    <xf numFmtId="167" fontId="37" fillId="0" borderId="0" applyFont="0" applyFill="0" applyBorder="0" applyAlignment="0" applyProtection="0"/>
    <xf numFmtId="214" fontId="37" fillId="0" borderId="0" applyFont="0" applyFill="0" applyBorder="0" applyAlignment="0" applyProtection="0"/>
    <xf numFmtId="215" fontId="32" fillId="0" borderId="0" applyFill="0" applyBorder="0" applyAlignment="0" applyProtection="0"/>
    <xf numFmtId="216" fontId="37" fillId="0" borderId="0" applyFont="0" applyFill="0" applyBorder="0" applyAlignment="0" applyProtection="0"/>
    <xf numFmtId="196"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202" fontId="37" fillId="0" borderId="0" applyFont="0" applyFill="0" applyBorder="0" applyAlignment="0" applyProtection="0"/>
    <xf numFmtId="171"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202" fontId="37" fillId="0" borderId="0" applyFont="0" applyFill="0" applyBorder="0" applyAlignment="0" applyProtection="0"/>
    <xf numFmtId="169" fontId="37" fillId="0" borderId="0" applyFont="0" applyFill="0" applyBorder="0" applyAlignment="0" applyProtection="0"/>
    <xf numFmtId="171" fontId="37" fillId="0" borderId="0" applyFont="0" applyFill="0" applyBorder="0" applyAlignment="0" applyProtection="0"/>
    <xf numFmtId="171" fontId="37" fillId="0" borderId="0" applyFont="0" applyFill="0" applyBorder="0" applyAlignment="0" applyProtection="0"/>
    <xf numFmtId="171" fontId="37" fillId="0" borderId="0" applyFont="0" applyFill="0" applyBorder="0" applyAlignment="0" applyProtection="0"/>
    <xf numFmtId="169" fontId="37" fillId="0" borderId="0" applyFont="0" applyFill="0" applyBorder="0" applyAlignment="0" applyProtection="0"/>
    <xf numFmtId="203" fontId="37" fillId="0" borderId="0" applyFont="0" applyFill="0" applyBorder="0" applyAlignment="0" applyProtection="0"/>
    <xf numFmtId="171" fontId="37" fillId="0" borderId="0" applyFont="0" applyFill="0" applyBorder="0" applyAlignment="0" applyProtection="0"/>
    <xf numFmtId="169"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171" fontId="37" fillId="0" borderId="0" applyFont="0" applyFill="0" applyBorder="0" applyAlignment="0" applyProtection="0"/>
    <xf numFmtId="43" fontId="37" fillId="0" borderId="0" applyFont="0" applyFill="0" applyBorder="0" applyAlignment="0" applyProtection="0"/>
    <xf numFmtId="203" fontId="37" fillId="0" borderId="0" applyFont="0" applyFill="0" applyBorder="0" applyAlignment="0" applyProtection="0"/>
    <xf numFmtId="171" fontId="37" fillId="0" borderId="0" applyFont="0" applyFill="0" applyBorder="0" applyAlignment="0" applyProtection="0"/>
    <xf numFmtId="171" fontId="37" fillId="0" borderId="0" applyFont="0" applyFill="0" applyBorder="0" applyAlignment="0" applyProtection="0"/>
    <xf numFmtId="203" fontId="37" fillId="0" borderId="0" applyFont="0" applyFill="0" applyBorder="0" applyAlignment="0" applyProtection="0"/>
    <xf numFmtId="203" fontId="37" fillId="0" borderId="0" applyFont="0" applyFill="0" applyBorder="0" applyAlignment="0" applyProtection="0"/>
    <xf numFmtId="203" fontId="37" fillId="0" borderId="0" applyFont="0" applyFill="0" applyBorder="0" applyAlignment="0" applyProtection="0"/>
    <xf numFmtId="43" fontId="37" fillId="0" borderId="0" applyFont="0" applyFill="0" applyBorder="0" applyAlignment="0" applyProtection="0"/>
    <xf numFmtId="169" fontId="37" fillId="0" borderId="0" applyFont="0" applyFill="0" applyBorder="0" applyAlignment="0" applyProtection="0"/>
    <xf numFmtId="171" fontId="37" fillId="0" borderId="0" applyFont="0" applyFill="0" applyBorder="0" applyAlignment="0" applyProtection="0"/>
    <xf numFmtId="203" fontId="37" fillId="0" borderId="0" applyFont="0" applyFill="0" applyBorder="0" applyAlignment="0" applyProtection="0"/>
    <xf numFmtId="204" fontId="32" fillId="0" borderId="0" applyFill="0" applyBorder="0" applyAlignment="0" applyProtection="0"/>
    <xf numFmtId="169" fontId="37" fillId="0" borderId="0" applyFont="0" applyFill="0" applyBorder="0" applyAlignment="0" applyProtection="0"/>
    <xf numFmtId="203" fontId="37" fillId="0" borderId="0" applyFont="0" applyFill="0" applyBorder="0" applyAlignment="0" applyProtection="0"/>
    <xf numFmtId="203" fontId="37" fillId="0" borderId="0" applyFont="0" applyFill="0" applyBorder="0" applyAlignment="0" applyProtection="0"/>
    <xf numFmtId="204" fontId="32" fillId="0" borderId="0" applyFill="0" applyBorder="0" applyAlignment="0" applyProtection="0"/>
    <xf numFmtId="169" fontId="37" fillId="0" borderId="0" applyFont="0" applyFill="0" applyBorder="0" applyAlignment="0" applyProtection="0"/>
    <xf numFmtId="171" fontId="37" fillId="0" borderId="0" applyFont="0" applyFill="0" applyBorder="0" applyAlignment="0" applyProtection="0"/>
    <xf numFmtId="169" fontId="37" fillId="0" borderId="0" applyFont="0" applyFill="0" applyBorder="0" applyAlignment="0" applyProtection="0"/>
    <xf numFmtId="205" fontId="37" fillId="0" borderId="0" applyFont="0" applyFill="0" applyBorder="0" applyAlignment="0" applyProtection="0"/>
    <xf numFmtId="206" fontId="32" fillId="0" borderId="0" applyFill="0" applyBorder="0" applyAlignment="0" applyProtection="0"/>
    <xf numFmtId="207" fontId="37" fillId="0" borderId="0" applyFont="0" applyFill="0" applyBorder="0" applyAlignment="0" applyProtection="0"/>
    <xf numFmtId="203" fontId="37" fillId="0" borderId="0" applyFont="0" applyFill="0" applyBorder="0" applyAlignment="0" applyProtection="0"/>
    <xf numFmtId="169" fontId="37" fillId="0" borderId="0" applyFont="0" applyFill="0" applyBorder="0" applyAlignment="0" applyProtection="0"/>
    <xf numFmtId="169" fontId="37" fillId="0" borderId="0" applyFont="0" applyFill="0" applyBorder="0" applyAlignment="0" applyProtection="0"/>
    <xf numFmtId="169" fontId="37" fillId="0" borderId="0" applyFont="0" applyFill="0" applyBorder="0" applyAlignment="0" applyProtection="0"/>
    <xf numFmtId="198" fontId="16" fillId="0" borderId="0" applyFont="0" applyFill="0" applyBorder="0" applyAlignment="0" applyProtection="0"/>
    <xf numFmtId="194" fontId="32" fillId="0" borderId="0" applyFill="0" applyBorder="0" applyAlignment="0" applyProtection="0"/>
    <xf numFmtId="198" fontId="16" fillId="0" borderId="0" applyFont="0" applyFill="0" applyBorder="0" applyAlignment="0" applyProtection="0"/>
    <xf numFmtId="194" fontId="32" fillId="0" borderId="0" applyFill="0" applyBorder="0" applyAlignment="0" applyProtection="0"/>
    <xf numFmtId="185" fontId="16" fillId="0" borderId="0" applyFont="0" applyFill="0" applyBorder="0" applyAlignment="0" applyProtection="0"/>
    <xf numFmtId="200" fontId="32" fillId="0" borderId="0" applyFill="0" applyBorder="0" applyAlignment="0" applyProtection="0"/>
    <xf numFmtId="171" fontId="16" fillId="0" borderId="0" applyFont="0" applyFill="0" applyBorder="0" applyAlignment="0" applyProtection="0"/>
    <xf numFmtId="201" fontId="32" fillId="0" borderId="0" applyFill="0" applyBorder="0" applyAlignment="0" applyProtection="0"/>
    <xf numFmtId="208" fontId="32" fillId="0" borderId="0" applyFill="0" applyBorder="0" applyAlignment="0" applyProtection="0"/>
    <xf numFmtId="0" fontId="10" fillId="0" borderId="0"/>
    <xf numFmtId="0" fontId="38" fillId="0" borderId="0">
      <alignment vertical="top"/>
    </xf>
    <xf numFmtId="0" fontId="38" fillId="0" borderId="0">
      <alignment vertical="top"/>
    </xf>
    <xf numFmtId="0" fontId="38" fillId="0" borderId="0">
      <alignment vertical="top"/>
    </xf>
    <xf numFmtId="0" fontId="10" fillId="0" borderId="0"/>
    <xf numFmtId="0" fontId="38" fillId="0" borderId="0">
      <alignment vertical="top"/>
    </xf>
    <xf numFmtId="0" fontId="38" fillId="0" borderId="0">
      <alignment vertical="top"/>
    </xf>
    <xf numFmtId="0" fontId="38" fillId="0" borderId="0">
      <alignment vertical="top"/>
    </xf>
    <xf numFmtId="0" fontId="38" fillId="0" borderId="0">
      <alignment vertical="top"/>
    </xf>
    <xf numFmtId="166" fontId="37" fillId="0" borderId="0" applyFont="0" applyFill="0" applyBorder="0" applyAlignment="0" applyProtection="0"/>
    <xf numFmtId="0" fontId="26" fillId="0" borderId="0"/>
    <xf numFmtId="0" fontId="38" fillId="0" borderId="0">
      <alignment vertical="top"/>
    </xf>
    <xf numFmtId="0" fontId="24" fillId="0" borderId="0" applyNumberFormat="0" applyFill="0" applyBorder="0" applyAlignment="0" applyProtection="0"/>
    <xf numFmtId="0" fontId="38" fillId="0" borderId="0">
      <alignment vertical="top"/>
    </xf>
    <xf numFmtId="0" fontId="24" fillId="0" borderId="0" applyNumberFormat="0" applyFill="0" applyBorder="0" applyAlignment="0" applyProtection="0"/>
    <xf numFmtId="166" fontId="37" fillId="0" borderId="0" applyFont="0" applyFill="0" applyBorder="0" applyAlignment="0" applyProtection="0"/>
    <xf numFmtId="0" fontId="38" fillId="0" borderId="0">
      <alignment vertical="top"/>
    </xf>
    <xf numFmtId="0" fontId="38" fillId="0" borderId="0">
      <alignment vertical="top"/>
    </xf>
    <xf numFmtId="0" fontId="38" fillId="0" borderId="0">
      <alignment vertical="top"/>
    </xf>
    <xf numFmtId="197" fontId="37" fillId="0" borderId="0" applyFont="0" applyFill="0" applyBorder="0" applyAlignment="0" applyProtection="0"/>
    <xf numFmtId="166" fontId="37" fillId="0" borderId="0" applyFon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6" fillId="0" borderId="0"/>
    <xf numFmtId="0" fontId="26" fillId="0" borderId="0"/>
    <xf numFmtId="217" fontId="39" fillId="0" borderId="0" applyFont="0" applyFill="0" applyBorder="0" applyAlignment="0" applyProtection="0"/>
    <xf numFmtId="218" fontId="40" fillId="0" borderId="0" applyFont="0" applyFill="0" applyBorder="0" applyAlignment="0" applyProtection="0"/>
    <xf numFmtId="219" fontId="40" fillId="0" borderId="0" applyFont="0" applyFill="0" applyBorder="0" applyAlignment="0" applyProtection="0"/>
    <xf numFmtId="0" fontId="41" fillId="0" borderId="0"/>
    <xf numFmtId="0" fontId="42" fillId="0" borderId="0"/>
    <xf numFmtId="0" fontId="42" fillId="0" borderId="0"/>
    <xf numFmtId="0" fontId="43" fillId="0" borderId="0"/>
    <xf numFmtId="0" fontId="22" fillId="0" borderId="0"/>
    <xf numFmtId="1" fontId="44" fillId="0" borderId="1" applyBorder="0" applyAlignment="0">
      <alignment horizontal="center"/>
    </xf>
    <xf numFmtId="0" fontId="45" fillId="0" borderId="0"/>
    <xf numFmtId="3" fontId="20" fillId="0" borderId="1"/>
    <xf numFmtId="3" fontId="20" fillId="0" borderId="1"/>
    <xf numFmtId="217" fontId="39" fillId="0" borderId="0" applyFont="0" applyFill="0" applyBorder="0" applyAlignment="0" applyProtection="0"/>
    <xf numFmtId="0" fontId="46" fillId="2" borderId="0"/>
    <xf numFmtId="0" fontId="46" fillId="3" borderId="0"/>
    <xf numFmtId="0" fontId="46" fillId="3" borderId="0"/>
    <xf numFmtId="0" fontId="47" fillId="3" borderId="0"/>
    <xf numFmtId="0" fontId="46" fillId="4" borderId="0"/>
    <xf numFmtId="0" fontId="46" fillId="3" borderId="0"/>
    <xf numFmtId="0" fontId="46" fillId="3" borderId="0"/>
    <xf numFmtId="0" fontId="47" fillId="3" borderId="0"/>
    <xf numFmtId="217" fontId="39" fillId="0" borderId="0" applyFont="0" applyFill="0" applyBorder="0" applyAlignment="0" applyProtection="0"/>
    <xf numFmtId="0" fontId="46" fillId="4" borderId="0"/>
    <xf numFmtId="0" fontId="46" fillId="3" borderId="0"/>
    <xf numFmtId="0" fontId="47" fillId="3" borderId="0"/>
    <xf numFmtId="0" fontId="46" fillId="4" borderId="0"/>
    <xf numFmtId="0" fontId="47" fillId="3" borderId="0"/>
    <xf numFmtId="0" fontId="46" fillId="4" borderId="0"/>
    <xf numFmtId="0" fontId="46" fillId="4" borderId="0"/>
    <xf numFmtId="0" fontId="48" fillId="0" borderId="0" applyFont="0" applyFill="0" applyBorder="0" applyAlignment="0">
      <alignment horizontal="left"/>
    </xf>
    <xf numFmtId="0" fontId="48" fillId="0" borderId="0" applyFont="0" applyFill="0" applyBorder="0" applyAlignment="0">
      <alignment horizontal="left"/>
    </xf>
    <xf numFmtId="0" fontId="46" fillId="3" borderId="0"/>
    <xf numFmtId="0" fontId="47" fillId="3" borderId="0"/>
    <xf numFmtId="0" fontId="46" fillId="3" borderId="0"/>
    <xf numFmtId="217" fontId="39" fillId="0" borderId="0" applyFont="0" applyFill="0" applyBorder="0" applyAlignment="0" applyProtection="0"/>
    <xf numFmtId="0" fontId="46" fillId="3" borderId="0"/>
    <xf numFmtId="0" fontId="46" fillId="3" borderId="0"/>
    <xf numFmtId="0" fontId="49" fillId="0" borderId="1" applyNumberFormat="0" applyFont="0" applyBorder="0">
      <alignment horizontal="left" indent="2"/>
    </xf>
    <xf numFmtId="0" fontId="48" fillId="0" borderId="0" applyFont="0" applyFill="0" applyBorder="0" applyAlignment="0">
      <alignment horizontal="left"/>
    </xf>
    <xf numFmtId="0" fontId="48" fillId="0" borderId="0" applyFont="0" applyFill="0" applyBorder="0" applyAlignment="0">
      <alignment horizontal="left"/>
    </xf>
    <xf numFmtId="0" fontId="50" fillId="0" borderId="0"/>
    <xf numFmtId="0" fontId="51" fillId="5" borderId="5" applyFont="0" applyFill="0" applyAlignment="0">
      <alignment vertical="center" wrapText="1"/>
    </xf>
    <xf numFmtId="9" fontId="52" fillId="0" borderId="0" applyBorder="0" applyAlignment="0" applyProtection="0"/>
    <xf numFmtId="0" fontId="53" fillId="3" borderId="0"/>
    <xf numFmtId="0" fontId="53" fillId="2" borderId="0"/>
    <xf numFmtId="0" fontId="53" fillId="3" borderId="0"/>
    <xf numFmtId="0" fontId="47" fillId="3" borderId="0"/>
    <xf numFmtId="0" fontId="53" fillId="4" borderId="0"/>
    <xf numFmtId="0" fontId="53" fillId="3" borderId="0"/>
    <xf numFmtId="0" fontId="53" fillId="3" borderId="0"/>
    <xf numFmtId="0" fontId="47" fillId="3" borderId="0"/>
    <xf numFmtId="0" fontId="53" fillId="4" borderId="0"/>
    <xf numFmtId="0" fontId="53" fillId="3" borderId="0"/>
    <xf numFmtId="0" fontId="47" fillId="3" borderId="0"/>
    <xf numFmtId="0" fontId="53" fillId="4" borderId="0"/>
    <xf numFmtId="0" fontId="47" fillId="3" borderId="0"/>
    <xf numFmtId="0" fontId="53" fillId="4" borderId="0"/>
    <xf numFmtId="0" fontId="53" fillId="4" borderId="0"/>
    <xf numFmtId="0" fontId="53" fillId="3" borderId="0"/>
    <xf numFmtId="0" fontId="47" fillId="3" borderId="0"/>
    <xf numFmtId="0" fontId="53" fillId="3" borderId="0"/>
    <xf numFmtId="0" fontId="53" fillId="3" borderId="0"/>
    <xf numFmtId="0" fontId="53" fillId="3" borderId="0"/>
    <xf numFmtId="0" fontId="49" fillId="0" borderId="1" applyNumberFormat="0" applyFont="0" applyBorder="0" applyAlignment="0">
      <alignment horizontal="center"/>
    </xf>
    <xf numFmtId="0" fontId="17" fillId="0" borderId="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25" fillId="0" borderId="0"/>
    <xf numFmtId="0" fontId="54" fillId="3" borderId="0"/>
    <xf numFmtId="0" fontId="54" fillId="2" borderId="0"/>
    <xf numFmtId="0" fontId="54" fillId="3" borderId="0"/>
    <xf numFmtId="0" fontId="47" fillId="3" borderId="0"/>
    <xf numFmtId="0" fontId="54" fillId="4" borderId="0"/>
    <xf numFmtId="0" fontId="54" fillId="3" borderId="0"/>
    <xf numFmtId="0" fontId="54" fillId="3" borderId="0"/>
    <xf numFmtId="0" fontId="47" fillId="3" borderId="0"/>
    <xf numFmtId="0" fontId="54" fillId="4" borderId="0"/>
    <xf numFmtId="0" fontId="54" fillId="3" borderId="0"/>
    <xf numFmtId="0" fontId="47" fillId="3" borderId="0"/>
    <xf numFmtId="0" fontId="54" fillId="4" borderId="0"/>
    <xf numFmtId="0" fontId="47" fillId="3" borderId="0"/>
    <xf numFmtId="0" fontId="54" fillId="4" borderId="0"/>
    <xf numFmtId="0" fontId="54" fillId="4" borderId="0"/>
    <xf numFmtId="0" fontId="54" fillId="3" borderId="0"/>
    <xf numFmtId="0" fontId="47" fillId="3" borderId="0"/>
    <xf numFmtId="0" fontId="54" fillId="3" borderId="0"/>
    <xf numFmtId="0" fontId="54" fillId="3" borderId="0"/>
    <xf numFmtId="0" fontId="41" fillId="0" borderId="0" applyFont="0" applyFill="0" applyBorder="0" applyAlignment="0" applyProtection="0"/>
    <xf numFmtId="0" fontId="41" fillId="0" borderId="0" applyFont="0" applyFill="0" applyBorder="0" applyAlignment="0" applyProtection="0"/>
    <xf numFmtId="0" fontId="55" fillId="0" borderId="0">
      <alignment wrapText="1"/>
    </xf>
    <xf numFmtId="0" fontId="55" fillId="0" borderId="0">
      <alignment wrapText="1"/>
    </xf>
    <xf numFmtId="0" fontId="47" fillId="0" borderId="0">
      <alignment wrapText="1"/>
    </xf>
    <xf numFmtId="0" fontId="47" fillId="0" borderId="0">
      <alignment wrapText="1"/>
    </xf>
    <xf numFmtId="0" fontId="47" fillId="0" borderId="0">
      <alignment wrapText="1"/>
    </xf>
    <xf numFmtId="0" fontId="47" fillId="0" borderId="0">
      <alignment wrapText="1"/>
    </xf>
    <xf numFmtId="0" fontId="47" fillId="0" borderId="0">
      <alignment wrapText="1"/>
    </xf>
    <xf numFmtId="0" fontId="55" fillId="0" borderId="0">
      <alignment wrapText="1"/>
    </xf>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22" fillId="0" borderId="0"/>
    <xf numFmtId="175" fontId="56" fillId="0" borderId="6" applyNumberFormat="0" applyFont="0" applyBorder="0" applyAlignment="0">
      <alignment horizontal="center" vertical="center"/>
    </xf>
    <xf numFmtId="0" fontId="24" fillId="0" borderId="0"/>
    <xf numFmtId="0" fontId="24" fillId="0" borderId="0"/>
    <xf numFmtId="0" fontId="24" fillId="0" borderId="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4" borderId="0" applyNumberFormat="0" applyBorder="0" applyAlignment="0" applyProtection="0"/>
    <xf numFmtId="0" fontId="57" fillId="17" borderId="0" applyNumberFormat="0" applyBorder="0" applyAlignment="0" applyProtection="0"/>
    <xf numFmtId="0" fontId="57" fillId="17" borderId="0" applyNumberFormat="0" applyBorder="0" applyAlignment="0" applyProtection="0"/>
    <xf numFmtId="0" fontId="57" fillId="17" borderId="0" applyNumberFormat="0" applyBorder="0" applyAlignment="0" applyProtection="0"/>
    <xf numFmtId="0" fontId="57" fillId="18" borderId="0" applyNumberFormat="0" applyBorder="0" applyAlignment="0" applyProtection="0"/>
    <xf numFmtId="0" fontId="57" fillId="18"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19" borderId="0" applyNumberFormat="0" applyBorder="0" applyAlignment="0" applyProtection="0"/>
    <xf numFmtId="0" fontId="57" fillId="19" borderId="0" applyNumberFormat="0" applyBorder="0" applyAlignment="0" applyProtection="0"/>
    <xf numFmtId="0" fontId="57" fillId="16" borderId="0" applyNumberFormat="0" applyBorder="0" applyAlignment="0" applyProtection="0"/>
    <xf numFmtId="0" fontId="57" fillId="13" borderId="0" applyNumberFormat="0" applyBorder="0" applyAlignment="0" applyProtection="0"/>
    <xf numFmtId="0" fontId="57" fillId="14" borderId="0" applyNumberFormat="0" applyBorder="0" applyAlignment="0" applyProtection="0"/>
    <xf numFmtId="0" fontId="57" fillId="17"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28" fillId="0" borderId="0"/>
    <xf numFmtId="0" fontId="58" fillId="0" borderId="0"/>
    <xf numFmtId="0" fontId="12" fillId="21" borderId="0" applyNumberFormat="0" applyBorder="0" applyAlignment="0" applyProtection="0"/>
    <xf numFmtId="0" fontId="12" fillId="21" borderId="0" applyNumberFormat="0" applyBorder="0" applyAlignment="0" applyProtection="0"/>
    <xf numFmtId="0" fontId="57" fillId="22" borderId="0" applyNumberFormat="0" applyBorder="0" applyAlignment="0" applyProtection="0"/>
    <xf numFmtId="0" fontId="57" fillId="20" borderId="0" applyNumberFormat="0" applyBorder="0" applyAlignment="0" applyProtection="0"/>
    <xf numFmtId="0" fontId="57" fillId="20" borderId="0" applyNumberFormat="0" applyBorder="0" applyAlignment="0" applyProtection="0"/>
    <xf numFmtId="0" fontId="57" fillId="20"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57" fillId="26" borderId="0" applyNumberFormat="0" applyBorder="0" applyAlignment="0" applyProtection="0"/>
    <xf numFmtId="0" fontId="57" fillId="23" borderId="0" applyNumberFormat="0" applyBorder="0" applyAlignment="0" applyProtection="0"/>
    <xf numFmtId="0" fontId="57" fillId="23" borderId="0" applyNumberFormat="0" applyBorder="0" applyAlignment="0" applyProtection="0"/>
    <xf numFmtId="0" fontId="57" fillId="23"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57" fillId="2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2" fillId="21" borderId="0" applyNumberFormat="0" applyBorder="0" applyAlignment="0" applyProtection="0"/>
    <xf numFmtId="0" fontId="12" fillId="25" borderId="0" applyNumberFormat="0" applyBorder="0" applyAlignment="0" applyProtection="0"/>
    <xf numFmtId="0" fontId="57" fillId="25" borderId="0" applyNumberFormat="0" applyBorder="0" applyAlignment="0" applyProtection="0"/>
    <xf numFmtId="0" fontId="57" fillId="17" borderId="0" applyNumberFormat="0" applyBorder="0" applyAlignment="0" applyProtection="0"/>
    <xf numFmtId="0" fontId="57" fillId="17" borderId="0" applyNumberFormat="0" applyBorder="0" applyAlignment="0" applyProtection="0"/>
    <xf numFmtId="0" fontId="57" fillId="17" borderId="0" applyNumberFormat="0" applyBorder="0" applyAlignment="0" applyProtection="0"/>
    <xf numFmtId="0" fontId="12" fillId="29" borderId="0" applyNumberFormat="0" applyBorder="0" applyAlignment="0" applyProtection="0"/>
    <xf numFmtId="0" fontId="12" fillId="21" borderId="0" applyNumberFormat="0" applyBorder="0" applyAlignment="0" applyProtection="0"/>
    <xf numFmtId="0" fontId="57" fillId="22" borderId="0" applyNumberFormat="0" applyBorder="0" applyAlignment="0" applyProtection="0"/>
    <xf numFmtId="0" fontId="57" fillId="18" borderId="0" applyNumberFormat="0" applyBorder="0" applyAlignment="0" applyProtection="0"/>
    <xf numFmtId="0" fontId="57" fillId="18" borderId="0" applyNumberFormat="0" applyBorder="0" applyAlignment="0" applyProtection="0"/>
    <xf numFmtId="0" fontId="57" fillId="18" borderId="0" applyNumberFormat="0" applyBorder="0" applyAlignment="0" applyProtection="0"/>
    <xf numFmtId="0" fontId="12" fillId="24" borderId="0" applyNumberFormat="0" applyBorder="0" applyAlignment="0" applyProtection="0"/>
    <xf numFmtId="0" fontId="12" fillId="31" borderId="0" applyNumberFormat="0" applyBorder="0" applyAlignment="0" applyProtection="0"/>
    <xf numFmtId="0" fontId="57" fillId="31"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220" fontId="59" fillId="0" borderId="0" applyFont="0" applyFill="0" applyBorder="0" applyAlignment="0" applyProtection="0"/>
    <xf numFmtId="0" fontId="60" fillId="0" borderId="0" applyFont="0" applyFill="0" applyBorder="0" applyAlignment="0" applyProtection="0"/>
    <xf numFmtId="221" fontId="61" fillId="0" borderId="0" applyFont="0" applyFill="0" applyBorder="0" applyAlignment="0" applyProtection="0"/>
    <xf numFmtId="213" fontId="59" fillId="0" borderId="0" applyFont="0" applyFill="0" applyBorder="0" applyAlignment="0" applyProtection="0"/>
    <xf numFmtId="0" fontId="60" fillId="0" borderId="0" applyFont="0" applyFill="0" applyBorder="0" applyAlignment="0" applyProtection="0"/>
    <xf numFmtId="222" fontId="59" fillId="0" borderId="0" applyFont="0" applyFill="0" applyBorder="0" applyAlignment="0" applyProtection="0"/>
    <xf numFmtId="0" fontId="62" fillId="0" borderId="0">
      <alignment horizontal="center" wrapText="1"/>
      <protection locked="0"/>
    </xf>
    <xf numFmtId="0" fontId="63" fillId="0" borderId="0" applyNumberFormat="0" applyBorder="0" applyAlignment="0">
      <alignment horizontal="center"/>
    </xf>
    <xf numFmtId="223" fontId="64" fillId="0" borderId="0" applyFont="0" applyFill="0" applyBorder="0" applyAlignment="0" applyProtection="0"/>
    <xf numFmtId="0" fontId="60" fillId="0" borderId="0" applyFont="0" applyFill="0" applyBorder="0" applyAlignment="0" applyProtection="0"/>
    <xf numFmtId="224" fontId="37" fillId="0" borderId="0" applyFont="0" applyFill="0" applyBorder="0" applyAlignment="0" applyProtection="0"/>
    <xf numFmtId="225" fontId="64" fillId="0" borderId="0" applyFont="0" applyFill="0" applyBorder="0" applyAlignment="0" applyProtection="0"/>
    <xf numFmtId="0" fontId="60" fillId="0" borderId="0" applyFont="0" applyFill="0" applyBorder="0" applyAlignment="0" applyProtection="0"/>
    <xf numFmtId="226" fontId="37" fillId="0" borderId="0" applyFont="0" applyFill="0" applyBorder="0" applyAlignment="0" applyProtection="0"/>
    <xf numFmtId="198" fontId="16" fillId="0" borderId="0" applyFont="0" applyFill="0" applyBorder="0" applyAlignment="0" applyProtection="0"/>
    <xf numFmtId="3" fontId="61" fillId="0" borderId="0" applyNumberFormat="0" applyAlignment="0"/>
    <xf numFmtId="3" fontId="61" fillId="0" borderId="0" applyNumberFormat="0" applyBorder="0" applyAlignment="0"/>
    <xf numFmtId="3" fontId="61" fillId="0" borderId="0" applyNumberFormat="0" applyAlignment="0"/>
    <xf numFmtId="0" fontId="65" fillId="7" borderId="0" applyNumberFormat="0" applyBorder="0" applyAlignment="0" applyProtection="0"/>
    <xf numFmtId="0" fontId="65" fillId="7" borderId="0" applyNumberFormat="0" applyBorder="0" applyAlignment="0" applyProtection="0"/>
    <xf numFmtId="0" fontId="65" fillId="7" borderId="0" applyNumberFormat="0" applyBorder="0" applyAlignment="0" applyProtection="0"/>
    <xf numFmtId="0" fontId="66" fillId="0" borderId="0"/>
    <xf numFmtId="0" fontId="67" fillId="0" borderId="0" applyNumberFormat="0" applyFill="0" applyBorder="0" applyAlignment="0" applyProtection="0"/>
    <xf numFmtId="0" fontId="32" fillId="0" borderId="1" applyNumberFormat="0" applyFont="0" applyFill="0" applyAlignment="0" applyProtection="0"/>
    <xf numFmtId="9" fontId="25" fillId="0" borderId="0" applyFont="0" applyFill="0" applyBorder="0" applyAlignment="0" applyProtection="0"/>
    <xf numFmtId="0" fontId="60" fillId="0" borderId="0"/>
    <xf numFmtId="0" fontId="68" fillId="0" borderId="0"/>
    <xf numFmtId="0" fontId="69" fillId="0" borderId="0"/>
    <xf numFmtId="0" fontId="60" fillId="0" borderId="0"/>
    <xf numFmtId="0" fontId="70" fillId="0" borderId="0"/>
    <xf numFmtId="0" fontId="71" fillId="0" borderId="0"/>
    <xf numFmtId="0" fontId="72" fillId="0" borderId="0"/>
    <xf numFmtId="227" fontId="32" fillId="0" borderId="0" applyFill="0" applyBorder="0" applyAlignment="0"/>
    <xf numFmtId="228" fontId="73" fillId="0" borderId="0" applyFill="0" applyBorder="0" applyAlignment="0"/>
    <xf numFmtId="177" fontId="25" fillId="0" borderId="0" applyFill="0" applyBorder="0" applyAlignment="0"/>
    <xf numFmtId="229" fontId="25" fillId="0" borderId="0" applyFill="0" applyBorder="0" applyAlignment="0"/>
    <xf numFmtId="230" fontId="25" fillId="0" borderId="0" applyFill="0" applyBorder="0" applyAlignment="0"/>
    <xf numFmtId="231" fontId="73" fillId="0" borderId="0" applyFill="0" applyBorder="0" applyAlignment="0"/>
    <xf numFmtId="232" fontId="73" fillId="0" borderId="0" applyFill="0" applyBorder="0" applyAlignment="0"/>
    <xf numFmtId="228" fontId="73" fillId="0" borderId="0" applyFill="0" applyBorder="0" applyAlignment="0"/>
    <xf numFmtId="0" fontId="74" fillId="4" borderId="7" applyNumberFormat="0" applyAlignment="0" applyProtection="0"/>
    <xf numFmtId="0" fontId="74" fillId="4" borderId="7" applyNumberFormat="0" applyAlignment="0" applyProtection="0"/>
    <xf numFmtId="0" fontId="74" fillId="4" borderId="7" applyNumberFormat="0" applyAlignment="0" applyProtection="0"/>
    <xf numFmtId="0" fontId="75" fillId="0" borderId="0"/>
    <xf numFmtId="233" fontId="76" fillId="0" borderId="4" applyBorder="0"/>
    <xf numFmtId="233" fontId="77" fillId="0" borderId="8">
      <protection locked="0"/>
    </xf>
    <xf numFmtId="234" fontId="37" fillId="0" borderId="0" applyFont="0" applyFill="0" applyBorder="0" applyAlignment="0" applyProtection="0"/>
    <xf numFmtId="267" fontId="90" fillId="0" borderId="8"/>
    <xf numFmtId="0" fontId="91" fillId="32" borderId="9" applyNumberFormat="0" applyAlignment="0" applyProtection="0"/>
    <xf numFmtId="0" fontId="91" fillId="32" borderId="9" applyNumberFormat="0" applyAlignment="0" applyProtection="0"/>
    <xf numFmtId="0" fontId="91" fillId="32" borderId="9" applyNumberFormat="0" applyAlignment="0" applyProtection="0"/>
    <xf numFmtId="175" fontId="18" fillId="0" borderId="0" applyFont="0" applyFill="0" applyBorder="0" applyAlignment="0" applyProtection="0"/>
    <xf numFmtId="4" fontId="16" fillId="0" borderId="0" applyAlignment="0"/>
    <xf numFmtId="1" fontId="92" fillId="0" borderId="10" applyBorder="0"/>
    <xf numFmtId="203" fontId="58" fillId="0" borderId="0" applyFont="0" applyFill="0" applyBorder="0" applyAlignment="0" applyProtection="0"/>
    <xf numFmtId="171" fontId="245" fillId="0" borderId="0" applyFont="0" applyFill="0" applyBorder="0" applyAlignment="0" applyProtection="0"/>
    <xf numFmtId="235" fontId="78" fillId="0" borderId="0"/>
    <xf numFmtId="235" fontId="78" fillId="0" borderId="0"/>
    <xf numFmtId="235" fontId="78" fillId="0" borderId="0"/>
    <xf numFmtId="235" fontId="78" fillId="0" borderId="0"/>
    <xf numFmtId="235" fontId="78" fillId="0" borderId="0"/>
    <xf numFmtId="235" fontId="78" fillId="0" borderId="0"/>
    <xf numFmtId="235" fontId="78" fillId="0" borderId="0"/>
    <xf numFmtId="235" fontId="78" fillId="0" borderId="0"/>
    <xf numFmtId="170" fontId="246" fillId="0" borderId="0" applyFont="0" applyFill="0" applyBorder="0" applyAlignment="0" applyProtection="0"/>
    <xf numFmtId="174"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0"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89" fontId="12" fillId="0" borderId="0" applyFont="0" applyFill="0" applyBorder="0" applyAlignment="0" applyProtection="0"/>
    <xf numFmtId="170" fontId="246"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41" fontId="247" fillId="0" borderId="0" applyFont="0" applyFill="0" applyBorder="0" applyAlignment="0" applyProtection="0"/>
    <xf numFmtId="41" fontId="247" fillId="0" borderId="0" applyFont="0" applyFill="0" applyBorder="0" applyAlignment="0" applyProtection="0"/>
    <xf numFmtId="167" fontId="247" fillId="0" borderId="0" applyFont="0" applyFill="0" applyBorder="0" applyAlignment="0" applyProtection="0"/>
    <xf numFmtId="231" fontId="73" fillId="0" borderId="0" applyFont="0" applyFill="0" applyBorder="0" applyAlignment="0" applyProtection="0"/>
    <xf numFmtId="0" fontId="12" fillId="0" borderId="0" applyFont="0" applyFill="0" applyBorder="0" applyAlignment="0" applyProtection="0"/>
    <xf numFmtId="169" fontId="12" fillId="0" borderId="0" applyFont="0" applyFill="0" applyBorder="0" applyAlignment="0" applyProtection="0"/>
    <xf numFmtId="171" fontId="12" fillId="0" borderId="0" applyFont="0" applyFill="0" applyBorder="0" applyAlignment="0" applyProtection="0"/>
    <xf numFmtId="169" fontId="12" fillId="0" borderId="0" applyFont="0" applyFill="0" applyBorder="0" applyAlignment="0" applyProtection="0"/>
    <xf numFmtId="171" fontId="12" fillId="0" borderId="0" applyFont="0" applyFill="0" applyBorder="0" applyAlignment="0" applyProtection="0"/>
    <xf numFmtId="0" fontId="10" fillId="0" borderId="0" applyFont="0" applyFill="0" applyBorder="0" applyAlignment="0" applyProtection="0"/>
    <xf numFmtId="171" fontId="12" fillId="0" borderId="0" applyFont="0" applyFill="0" applyBorder="0" applyAlignment="0" applyProtection="0"/>
    <xf numFmtId="191" fontId="12" fillId="0" borderId="0" applyFont="0" applyFill="0" applyBorder="0" applyAlignment="0" applyProtection="0"/>
    <xf numFmtId="170" fontId="12" fillId="0" borderId="0" applyFont="0" applyFill="0" applyBorder="0" applyAlignment="0" applyProtection="0"/>
    <xf numFmtId="167" fontId="12" fillId="0" borderId="0" applyFont="0" applyFill="0" applyBorder="0" applyAlignment="0" applyProtection="0"/>
    <xf numFmtId="236" fontId="12" fillId="0" borderId="0" applyFont="0" applyFill="0" applyBorder="0" applyAlignment="0" applyProtection="0"/>
    <xf numFmtId="237" fontId="12" fillId="0" borderId="0" applyFont="0" applyFill="0" applyBorder="0" applyAlignment="0" applyProtection="0"/>
    <xf numFmtId="189" fontId="12"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71" fontId="25" fillId="0" borderId="0" applyFont="0" applyFill="0" applyBorder="0" applyAlignment="0" applyProtection="0"/>
    <xf numFmtId="169" fontId="25" fillId="0" borderId="0" applyFont="0" applyFill="0" applyBorder="0" applyAlignment="0" applyProtection="0"/>
    <xf numFmtId="169" fontId="10" fillId="0" borderId="0" applyFont="0" applyFill="0" applyBorder="0" applyAlignment="0" applyProtection="0"/>
    <xf numFmtId="169" fontId="25" fillId="0" borderId="0" applyFont="0" applyFill="0" applyBorder="0" applyAlignment="0" applyProtection="0"/>
    <xf numFmtId="43" fontId="12" fillId="0" borderId="0" applyFont="0" applyFill="0" applyBorder="0" applyAlignment="0" applyProtection="0"/>
    <xf numFmtId="169" fontId="25" fillId="0" borderId="0" applyFont="0" applyFill="0" applyBorder="0" applyAlignment="0" applyProtection="0"/>
    <xf numFmtId="170" fontId="12" fillId="0" borderId="0" applyFont="0" applyFill="0" applyBorder="0" applyAlignment="0" applyProtection="0"/>
    <xf numFmtId="191" fontId="12" fillId="0" borderId="0" applyFont="0" applyFill="0" applyBorder="0" applyAlignment="0" applyProtection="0"/>
    <xf numFmtId="170" fontId="12" fillId="0" borderId="0" applyFont="0" applyFill="0" applyBorder="0" applyAlignment="0" applyProtection="0"/>
    <xf numFmtId="237" fontId="12" fillId="0" borderId="0" applyFont="0" applyFill="0" applyBorder="0" applyAlignment="0" applyProtection="0"/>
    <xf numFmtId="185" fontId="12" fillId="0" borderId="0" applyFont="0" applyFill="0" applyBorder="0" applyAlignment="0" applyProtection="0"/>
    <xf numFmtId="173" fontId="12" fillId="0" borderId="0" applyFont="0" applyFill="0" applyBorder="0" applyAlignment="0" applyProtection="0"/>
    <xf numFmtId="238" fontId="12" fillId="0" borderId="0" applyFont="0" applyFill="0" applyBorder="0" applyAlignment="0" applyProtection="0"/>
    <xf numFmtId="170" fontId="12" fillId="0" borderId="0" applyFont="0" applyFill="0" applyBorder="0" applyAlignment="0" applyProtection="0"/>
    <xf numFmtId="191" fontId="12" fillId="0" borderId="0" applyFont="0" applyFill="0" applyBorder="0" applyAlignment="0" applyProtection="0"/>
    <xf numFmtId="191" fontId="12" fillId="0" borderId="0" applyFont="0" applyFill="0" applyBorder="0" applyAlignment="0" applyProtection="0"/>
    <xf numFmtId="239" fontId="12" fillId="0" borderId="0" applyFont="0" applyFill="0" applyBorder="0" applyAlignment="0" applyProtection="0"/>
    <xf numFmtId="23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240" fontId="12" fillId="0" borderId="0" applyFont="0" applyFill="0" applyBorder="0" applyAlignment="0" applyProtection="0"/>
    <xf numFmtId="240" fontId="12" fillId="0" borderId="0" applyFont="0" applyFill="0" applyBorder="0" applyAlignment="0" applyProtection="0"/>
    <xf numFmtId="169" fontId="25" fillId="0" borderId="0" applyFont="0" applyFill="0" applyBorder="0" applyAlignment="0" applyProtection="0"/>
    <xf numFmtId="169" fontId="10" fillId="0" borderId="0" applyFont="0" applyFill="0" applyBorder="0" applyAlignment="0" applyProtection="0"/>
    <xf numFmtId="169" fontId="25" fillId="0" borderId="0" applyFont="0" applyFill="0" applyBorder="0" applyAlignment="0" applyProtection="0"/>
    <xf numFmtId="43" fontId="247"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25" fillId="0" borderId="0" applyFont="0" applyFill="0" applyBorder="0" applyAlignment="0" applyProtection="0"/>
    <xf numFmtId="171" fontId="12" fillId="0" borderId="0" applyFont="0" applyFill="0" applyBorder="0" applyAlignment="0" applyProtection="0"/>
    <xf numFmtId="43" fontId="247"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241" fontId="12" fillId="0" borderId="0" applyFont="0" applyFill="0" applyBorder="0" applyAlignment="0" applyProtection="0"/>
    <xf numFmtId="171" fontId="245"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79" fillId="0" borderId="0" applyFont="0" applyFill="0" applyBorder="0" applyAlignment="0" applyProtection="0"/>
    <xf numFmtId="242" fontId="25" fillId="0" borderId="0" applyFont="0" applyFill="0" applyBorder="0" applyAlignment="0" applyProtection="0"/>
    <xf numFmtId="242" fontId="25" fillId="0" borderId="0" applyFont="0" applyFill="0" applyBorder="0" applyAlignment="0" applyProtection="0"/>
    <xf numFmtId="242" fontId="25" fillId="0" borderId="0" applyFont="0" applyFill="0" applyBorder="0" applyAlignment="0" applyProtection="0"/>
    <xf numFmtId="242" fontId="25" fillId="0" borderId="0" applyFont="0" applyFill="0" applyBorder="0" applyAlignment="0" applyProtection="0"/>
    <xf numFmtId="242" fontId="25" fillId="0" borderId="0" applyFont="0" applyFill="0" applyBorder="0" applyAlignment="0" applyProtection="0"/>
    <xf numFmtId="242" fontId="25" fillId="0" borderId="0" applyFont="0" applyFill="0" applyBorder="0" applyAlignment="0" applyProtection="0"/>
    <xf numFmtId="242" fontId="25" fillId="0" borderId="0" applyFont="0" applyFill="0" applyBorder="0" applyAlignment="0" applyProtection="0"/>
    <xf numFmtId="242" fontId="25" fillId="0" borderId="0" applyFont="0" applyFill="0" applyBorder="0" applyAlignment="0" applyProtection="0"/>
    <xf numFmtId="242" fontId="25" fillId="0" borderId="0" applyFont="0" applyFill="0" applyBorder="0" applyAlignment="0" applyProtection="0"/>
    <xf numFmtId="242" fontId="25" fillId="0" borderId="0" applyFont="0" applyFill="0" applyBorder="0" applyAlignment="0" applyProtection="0"/>
    <xf numFmtId="169" fontId="25"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42" fontId="25"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71" fontId="25"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242" fontId="25" fillId="0" borderId="0" applyFont="0" applyFill="0" applyBorder="0" applyAlignment="0" applyProtection="0"/>
    <xf numFmtId="242" fontId="25" fillId="0" borderId="0" applyFont="0" applyFill="0" applyBorder="0" applyAlignment="0" applyProtection="0"/>
    <xf numFmtId="242" fontId="25" fillId="0" borderId="0" applyFont="0" applyFill="0" applyBorder="0" applyAlignment="0" applyProtection="0"/>
    <xf numFmtId="242" fontId="25"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216" fontId="25" fillId="0" borderId="0" applyFont="0" applyFill="0" applyBorder="0" applyAlignment="0" applyProtection="0"/>
    <xf numFmtId="169" fontId="80" fillId="0" borderId="0" applyFont="0" applyFill="0" applyBorder="0" applyAlignment="0" applyProtection="0"/>
    <xf numFmtId="242" fontId="25" fillId="0" borderId="0" applyFont="0" applyFill="0" applyBorder="0" applyAlignment="0" applyProtection="0"/>
    <xf numFmtId="203" fontId="25" fillId="0" borderId="0" applyFont="0" applyFill="0" applyBorder="0" applyAlignment="0" applyProtection="0"/>
    <xf numFmtId="242" fontId="25" fillId="0" borderId="0" applyFont="0" applyFill="0" applyBorder="0" applyAlignment="0" applyProtection="0"/>
    <xf numFmtId="242" fontId="25" fillId="0" borderId="0" applyFont="0" applyFill="0" applyBorder="0" applyAlignment="0" applyProtection="0"/>
    <xf numFmtId="242" fontId="25" fillId="0" borderId="0" applyFont="0" applyFill="0" applyBorder="0" applyAlignment="0" applyProtection="0"/>
    <xf numFmtId="242" fontId="25" fillId="0" borderId="0" applyFont="0" applyFill="0" applyBorder="0" applyAlignment="0" applyProtection="0"/>
    <xf numFmtId="242" fontId="25" fillId="0" borderId="0" applyFont="0" applyFill="0" applyBorder="0" applyAlignment="0" applyProtection="0"/>
    <xf numFmtId="169" fontId="80"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69" fontId="12" fillId="0" borderId="0" applyFont="0" applyFill="0" applyBorder="0" applyAlignment="0" applyProtection="0"/>
    <xf numFmtId="242" fontId="25" fillId="0" borderId="0" applyFont="0" applyFill="0" applyBorder="0" applyAlignment="0" applyProtection="0"/>
    <xf numFmtId="43" fontId="246" fillId="0" borderId="0" applyFont="0" applyFill="0" applyBorder="0" applyAlignment="0" applyProtection="0"/>
    <xf numFmtId="169" fontId="79" fillId="0" borderId="0" applyFont="0" applyFill="0" applyBorder="0" applyAlignment="0" applyProtection="0"/>
    <xf numFmtId="169" fontId="10" fillId="0" borderId="0" applyFont="0" applyFill="0" applyBorder="0" applyAlignment="0" applyProtection="0"/>
    <xf numFmtId="237" fontId="12" fillId="0" borderId="0" applyFont="0" applyFill="0" applyBorder="0" applyAlignment="0" applyProtection="0"/>
    <xf numFmtId="171" fontId="25" fillId="0" borderId="0" applyFont="0" applyFill="0" applyBorder="0" applyAlignment="0" applyProtection="0"/>
    <xf numFmtId="176" fontId="12" fillId="0" borderId="0" applyFont="0" applyFill="0" applyBorder="0" applyAlignment="0" applyProtection="0"/>
    <xf numFmtId="169" fontId="79" fillId="0" borderId="0" applyFont="0" applyFill="0" applyBorder="0" applyAlignment="0" applyProtection="0"/>
    <xf numFmtId="169" fontId="12" fillId="0" borderId="0" applyFont="0" applyFill="0" applyBorder="0" applyAlignment="0" applyProtection="0"/>
    <xf numFmtId="169" fontId="245" fillId="0" borderId="0" applyFont="0" applyFill="0" applyBorder="0" applyAlignment="0" applyProtection="0"/>
    <xf numFmtId="169" fontId="12" fillId="0" borderId="0" applyFont="0" applyFill="0" applyBorder="0" applyAlignment="0" applyProtection="0"/>
    <xf numFmtId="237" fontId="17"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7" fillId="0" borderId="0" applyFont="0" applyFill="0" applyBorder="0" applyAlignment="0" applyProtection="0"/>
    <xf numFmtId="169" fontId="12" fillId="0" borderId="0" applyFont="0" applyFill="0" applyBorder="0" applyAlignment="0" applyProtection="0"/>
    <xf numFmtId="243" fontId="12" fillId="0" borderId="0" applyFont="0" applyFill="0" applyBorder="0" applyAlignment="0" applyProtection="0"/>
    <xf numFmtId="244" fontId="79" fillId="0" borderId="0" applyFont="0" applyFill="0" applyBorder="0" applyAlignment="0" applyProtection="0"/>
    <xf numFmtId="43" fontId="245" fillId="0" borderId="0" applyFont="0" applyFill="0" applyBorder="0" applyAlignment="0" applyProtection="0"/>
    <xf numFmtId="43" fontId="245" fillId="0" borderId="0" applyFont="0" applyFill="0" applyBorder="0" applyAlignment="0" applyProtection="0"/>
    <xf numFmtId="43" fontId="245" fillId="0" borderId="0" applyFont="0" applyFill="0" applyBorder="0" applyAlignment="0" applyProtection="0"/>
    <xf numFmtId="43" fontId="245" fillId="0" borderId="0" applyFont="0" applyFill="0" applyBorder="0" applyAlignment="0" applyProtection="0"/>
    <xf numFmtId="43" fontId="245" fillId="0" borderId="0" applyFont="0" applyFill="0" applyBorder="0" applyAlignment="0" applyProtection="0"/>
    <xf numFmtId="43" fontId="245" fillId="0" borderId="0" applyFont="0" applyFill="0" applyBorder="0" applyAlignment="0" applyProtection="0"/>
    <xf numFmtId="43" fontId="245" fillId="0" borderId="0" applyFont="0" applyFill="0" applyBorder="0" applyAlignment="0" applyProtection="0"/>
    <xf numFmtId="43" fontId="245" fillId="0" borderId="0" applyFont="0" applyFill="0" applyBorder="0" applyAlignment="0" applyProtection="0"/>
    <xf numFmtId="169" fontId="81" fillId="0" borderId="0" applyFont="0" applyFill="0" applyBorder="0" applyAlignment="0" applyProtection="0"/>
    <xf numFmtId="169" fontId="245" fillId="0" borderId="0" applyFont="0" applyFill="0" applyBorder="0" applyAlignment="0" applyProtection="0"/>
    <xf numFmtId="43" fontId="245" fillId="0" borderId="0" applyFont="0" applyFill="0" applyBorder="0" applyAlignment="0" applyProtection="0"/>
    <xf numFmtId="43" fontId="24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245" fontId="25" fillId="0" borderId="0" applyFont="0" applyFill="0" applyBorder="0" applyAlignment="0" applyProtection="0"/>
    <xf numFmtId="0" fontId="25" fillId="0" borderId="0" applyFont="0" applyFill="0" applyBorder="0" applyAlignment="0" applyProtection="0"/>
    <xf numFmtId="237" fontId="25" fillId="0" borderId="0" applyFont="0" applyFill="0" applyBorder="0" applyAlignment="0" applyProtection="0"/>
    <xf numFmtId="169" fontId="10" fillId="0" borderId="0" applyFont="0" applyFill="0" applyBorder="0" applyAlignment="0" applyProtection="0"/>
    <xf numFmtId="246" fontId="247" fillId="0" borderId="0" applyFont="0" applyFill="0" applyBorder="0" applyAlignment="0" applyProtection="0"/>
    <xf numFmtId="171" fontId="246" fillId="0" borderId="0" applyFont="0" applyFill="0" applyBorder="0" applyAlignment="0" applyProtection="0"/>
    <xf numFmtId="169" fontId="12" fillId="0" borderId="0" applyFont="0" applyFill="0" applyBorder="0" applyAlignment="0" applyProtection="0"/>
    <xf numFmtId="171" fontId="12" fillId="0" borderId="0" applyFont="0" applyFill="0" applyBorder="0" applyAlignment="0" applyProtection="0"/>
    <xf numFmtId="247" fontId="10" fillId="0" borderId="0" applyFont="0" applyFill="0" applyBorder="0" applyAlignment="0" applyProtection="0"/>
    <xf numFmtId="170" fontId="12" fillId="0" borderId="0" applyFont="0" applyFill="0" applyBorder="0" applyAlignment="0" applyProtection="0"/>
    <xf numFmtId="213" fontId="10" fillId="0" borderId="0" applyFont="0" applyFill="0" applyBorder="0" applyAlignment="0" applyProtection="0"/>
    <xf numFmtId="198" fontId="10" fillId="0" borderId="0" applyFont="0" applyFill="0" applyBorder="0" applyAlignment="0" applyProtection="0"/>
    <xf numFmtId="237" fontId="12" fillId="0" borderId="0" applyFont="0" applyFill="0" applyBorder="0" applyAlignment="0" applyProtection="0"/>
    <xf numFmtId="169" fontId="10" fillId="0" borderId="0" applyFont="0" applyFill="0" applyBorder="0" applyAlignment="0" applyProtection="0"/>
    <xf numFmtId="169" fontId="245" fillId="0" borderId="0" applyFont="0" applyFill="0" applyBorder="0" applyAlignment="0" applyProtection="0"/>
    <xf numFmtId="169" fontId="10" fillId="0" borderId="0" applyFont="0" applyFill="0" applyBorder="0" applyAlignment="0" applyProtection="0"/>
    <xf numFmtId="169" fontId="79" fillId="0" borderId="0" applyFont="0" applyFill="0" applyBorder="0" applyAlignment="0" applyProtection="0"/>
    <xf numFmtId="237"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237" fontId="12" fillId="0" borderId="0" applyFont="0" applyFill="0" applyBorder="0" applyAlignment="0" applyProtection="0"/>
    <xf numFmtId="169" fontId="12" fillId="0" borderId="0" applyFont="0" applyFill="0" applyBorder="0" applyAlignment="0" applyProtection="0"/>
    <xf numFmtId="169" fontId="10" fillId="0" borderId="0" applyFont="0" applyFill="0" applyBorder="0" applyAlignment="0" applyProtection="0"/>
    <xf numFmtId="16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169" fontId="25" fillId="0" borderId="0" applyFont="0" applyFill="0" applyBorder="0" applyAlignment="0" applyProtection="0"/>
    <xf numFmtId="171" fontId="246" fillId="0" borderId="0" applyFont="0" applyFill="0" applyBorder="0" applyAlignment="0" applyProtection="0"/>
    <xf numFmtId="171" fontId="246" fillId="0" borderId="0" applyFont="0" applyFill="0" applyBorder="0" applyAlignment="0" applyProtection="0"/>
    <xf numFmtId="43" fontId="247" fillId="0" borderId="0" applyFont="0" applyFill="0" applyBorder="0" applyAlignment="0" applyProtection="0"/>
    <xf numFmtId="171" fontId="246" fillId="0" borderId="0" applyFont="0" applyFill="0" applyBorder="0" applyAlignment="0" applyProtection="0"/>
    <xf numFmtId="169" fontId="17" fillId="0" borderId="0" applyFont="0" applyFill="0" applyBorder="0" applyAlignment="0" applyProtection="0"/>
    <xf numFmtId="169" fontId="79" fillId="0" borderId="0" applyFont="0" applyFill="0" applyBorder="0" applyAlignment="0" applyProtection="0"/>
    <xf numFmtId="43" fontId="247" fillId="0" borderId="0" applyFont="0" applyFill="0" applyBorder="0" applyAlignment="0" applyProtection="0"/>
    <xf numFmtId="171" fontId="246" fillId="0" borderId="0" applyFont="0" applyFill="0" applyBorder="0" applyAlignment="0" applyProtection="0"/>
    <xf numFmtId="171" fontId="246" fillId="0" borderId="0" applyFont="0" applyFill="0" applyBorder="0" applyAlignment="0" applyProtection="0"/>
    <xf numFmtId="169" fontId="245" fillId="0" borderId="0" applyFont="0" applyFill="0" applyBorder="0" applyAlignment="0" applyProtection="0"/>
    <xf numFmtId="171" fontId="25" fillId="0" borderId="0" applyFont="0" applyFill="0" applyBorder="0" applyAlignment="0" applyProtection="0"/>
    <xf numFmtId="237" fontId="17" fillId="0" borderId="0" applyFont="0" applyFill="0" applyBorder="0" applyAlignment="0" applyProtection="0"/>
    <xf numFmtId="170" fontId="12" fillId="0" borderId="0" applyFont="0" applyFill="0" applyBorder="0" applyAlignment="0" applyProtection="0"/>
    <xf numFmtId="237" fontId="12" fillId="0" borderId="0" applyFont="0" applyFill="0" applyBorder="0" applyAlignment="0" applyProtection="0"/>
    <xf numFmtId="43" fontId="81" fillId="0" borderId="0" applyFont="0" applyFill="0" applyBorder="0" applyAlignment="0" applyProtection="0"/>
    <xf numFmtId="248" fontId="81" fillId="0" borderId="0" applyFont="0" applyFill="0" applyBorder="0" applyAlignment="0" applyProtection="0"/>
    <xf numFmtId="169" fontId="12" fillId="0" borderId="0" applyFont="0" applyFill="0" applyBorder="0" applyAlignment="0" applyProtection="0"/>
    <xf numFmtId="198" fontId="12" fillId="0" borderId="0" applyFont="0" applyFill="0" applyBorder="0" applyAlignment="0" applyProtection="0"/>
    <xf numFmtId="231" fontId="12" fillId="0" borderId="0" applyFont="0" applyFill="0" applyBorder="0" applyAlignment="0" applyProtection="0"/>
    <xf numFmtId="249" fontId="12" fillId="0" borderId="0" applyFont="0" applyFill="0" applyBorder="0" applyAlignment="0" applyProtection="0"/>
    <xf numFmtId="202" fontId="12" fillId="0" borderId="0" applyFont="0" applyFill="0" applyBorder="0" applyAlignment="0" applyProtection="0"/>
    <xf numFmtId="236" fontId="12" fillId="0" borderId="0" applyFont="0" applyFill="0" applyBorder="0" applyAlignment="0" applyProtection="0"/>
    <xf numFmtId="250" fontId="82" fillId="0" borderId="0"/>
    <xf numFmtId="251" fontId="69" fillId="0" borderId="0"/>
    <xf numFmtId="3" fontId="25" fillId="0" borderId="0" applyFont="0" applyFill="0" applyBorder="0" applyAlignment="0" applyProtection="0"/>
    <xf numFmtId="0" fontId="83" fillId="0" borderId="0">
      <alignment horizontal="center"/>
    </xf>
    <xf numFmtId="0" fontId="84" fillId="0" borderId="0" applyNumberFormat="0" applyAlignment="0">
      <alignment horizontal="left"/>
    </xf>
    <xf numFmtId="0" fontId="85" fillId="0" borderId="0" applyNumberFormat="0" applyAlignment="0"/>
    <xf numFmtId="203" fontId="58" fillId="0" borderId="0" applyFont="0" applyFill="0" applyBorder="0" applyAlignment="0" applyProtection="0"/>
    <xf numFmtId="252" fontId="68" fillId="0" borderId="0" applyFont="0" applyFill="0" applyBorder="0" applyAlignment="0" applyProtection="0"/>
    <xf numFmtId="253" fontId="86" fillId="0" borderId="0">
      <protection locked="0"/>
    </xf>
    <xf numFmtId="254" fontId="86" fillId="0" borderId="0">
      <protection locked="0"/>
    </xf>
    <xf numFmtId="255" fontId="87" fillId="0" borderId="11">
      <protection locked="0"/>
    </xf>
    <xf numFmtId="256" fontId="86" fillId="0" borderId="0">
      <protection locked="0"/>
    </xf>
    <xf numFmtId="257" fontId="86" fillId="0" borderId="0">
      <protection locked="0"/>
    </xf>
    <xf numFmtId="256" fontId="86" fillId="0" borderId="0" applyNumberFormat="0">
      <protection locked="0"/>
    </xf>
    <xf numFmtId="256" fontId="86" fillId="0" borderId="0">
      <protection locked="0"/>
    </xf>
    <xf numFmtId="233" fontId="88" fillId="0" borderId="2"/>
    <xf numFmtId="258" fontId="88" fillId="0" borderId="2"/>
    <xf numFmtId="259" fontId="89" fillId="0" borderId="0" applyFont="0" applyFill="0" applyBorder="0" applyAlignment="0" applyProtection="0"/>
    <xf numFmtId="260" fontId="89" fillId="0" borderId="0" applyFont="0" applyFill="0" applyBorder="0" applyAlignment="0" applyProtection="0"/>
    <xf numFmtId="228" fontId="73" fillId="0" borderId="0" applyFont="0" applyFill="0" applyBorder="0" applyAlignment="0" applyProtection="0"/>
    <xf numFmtId="261" fontId="12" fillId="0" borderId="0" applyFont="0" applyFill="0" applyBorder="0" applyAlignment="0" applyProtection="0"/>
    <xf numFmtId="44" fontId="245" fillId="0" borderId="0" applyFont="0" applyFill="0" applyBorder="0" applyAlignment="0" applyProtection="0"/>
    <xf numFmtId="44" fontId="245" fillId="0" borderId="0" applyFont="0" applyFill="0" applyBorder="0" applyAlignment="0" applyProtection="0"/>
    <xf numFmtId="262" fontId="25" fillId="0" borderId="0" applyFont="0" applyFill="0" applyBorder="0" applyAlignment="0" applyProtection="0"/>
    <xf numFmtId="263" fontId="25" fillId="0" borderId="0" applyFont="0" applyFill="0" applyBorder="0" applyAlignment="0" applyProtection="0"/>
    <xf numFmtId="264" fontId="25" fillId="0" borderId="0" applyFont="0" applyFill="0" applyBorder="0" applyAlignment="0" applyProtection="0"/>
    <xf numFmtId="265" fontId="82" fillId="0" borderId="0"/>
    <xf numFmtId="266" fontId="25" fillId="0" borderId="0"/>
    <xf numFmtId="233" fontId="21" fillId="0" borderId="2">
      <alignment horizontal="center"/>
      <protection hidden="1"/>
    </xf>
    <xf numFmtId="268" fontId="93" fillId="0" borderId="2">
      <alignment horizontal="center"/>
      <protection hidden="1"/>
    </xf>
    <xf numFmtId="241" fontId="17" fillId="0" borderId="12"/>
    <xf numFmtId="0" fontId="94" fillId="0" borderId="0"/>
    <xf numFmtId="0" fontId="95" fillId="0" borderId="0"/>
    <xf numFmtId="0" fontId="25" fillId="0" borderId="0" applyFont="0" applyFill="0" applyBorder="0" applyAlignment="0" applyProtection="0"/>
    <xf numFmtId="14" fontId="38" fillId="0" borderId="0" applyFill="0" applyBorder="0" applyAlignment="0"/>
    <xf numFmtId="0" fontId="10" fillId="0" borderId="0" applyFill="0" applyBorder="0" applyAlignment="0" applyProtection="0"/>
    <xf numFmtId="0" fontId="98" fillId="4" borderId="13" applyNumberFormat="0" applyAlignment="0" applyProtection="0"/>
    <xf numFmtId="0" fontId="99" fillId="11" borderId="7" applyNumberFormat="0" applyAlignment="0" applyProtection="0"/>
    <xf numFmtId="3" fontId="96" fillId="0" borderId="14">
      <alignment horizontal="left" vertical="top" wrapText="1"/>
    </xf>
    <xf numFmtId="0" fontId="100" fillId="0" borderId="15" applyNumberFormat="0" applyFill="0" applyAlignment="0" applyProtection="0"/>
    <xf numFmtId="0" fontId="101" fillId="0" borderId="16" applyNumberFormat="0" applyFill="0" applyAlignment="0" applyProtection="0"/>
    <xf numFmtId="0" fontId="102" fillId="0" borderId="17" applyNumberFormat="0" applyFill="0" applyAlignment="0" applyProtection="0"/>
    <xf numFmtId="0" fontId="102" fillId="0" borderId="0" applyNumberFormat="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269" fontId="17" fillId="0" borderId="0"/>
    <xf numFmtId="270" fontId="24" fillId="0" borderId="1"/>
    <xf numFmtId="271" fontId="82" fillId="0" borderId="0"/>
    <xf numFmtId="272" fontId="25" fillId="0" borderId="0"/>
    <xf numFmtId="273" fontId="24" fillId="0" borderId="0"/>
    <xf numFmtId="0" fontId="58" fillId="0" borderId="0">
      <alignment vertical="top" wrapText="1"/>
    </xf>
    <xf numFmtId="170" fontId="97" fillId="0" borderId="0" applyFont="0" applyFill="0" applyBorder="0" applyAlignment="0" applyProtection="0"/>
    <xf numFmtId="171" fontId="97" fillId="0" borderId="0" applyFont="0" applyFill="0" applyBorder="0" applyAlignment="0" applyProtection="0"/>
    <xf numFmtId="170" fontId="97" fillId="0" borderId="0" applyFont="0" applyFill="0" applyBorder="0" applyAlignment="0" applyProtection="0"/>
    <xf numFmtId="167" fontId="97" fillId="0" borderId="0" applyFont="0" applyFill="0" applyBorder="0" applyAlignment="0" applyProtection="0"/>
    <xf numFmtId="274" fontId="25" fillId="0" borderId="0" applyFont="0" applyFill="0" applyBorder="0" applyAlignment="0" applyProtection="0"/>
    <xf numFmtId="274" fontId="25" fillId="0" borderId="0" applyFont="0" applyFill="0" applyBorder="0" applyAlignment="0" applyProtection="0"/>
    <xf numFmtId="274" fontId="25" fillId="0" borderId="0" applyFont="0" applyFill="0" applyBorder="0" applyAlignment="0" applyProtection="0"/>
    <xf numFmtId="274" fontId="25" fillId="0" borderId="0" applyFont="0" applyFill="0" applyBorder="0" applyAlignment="0" applyProtection="0"/>
    <xf numFmtId="170" fontId="97" fillId="0" borderId="0" applyFont="0" applyFill="0" applyBorder="0" applyAlignment="0" applyProtection="0"/>
    <xf numFmtId="170" fontId="97" fillId="0" borderId="0" applyFont="0" applyFill="0" applyBorder="0" applyAlignment="0" applyProtection="0"/>
    <xf numFmtId="274" fontId="25" fillId="0" borderId="0" applyFont="0" applyFill="0" applyBorder="0" applyAlignment="0" applyProtection="0"/>
    <xf numFmtId="274" fontId="25" fillId="0" borderId="0" applyFont="0" applyFill="0" applyBorder="0" applyAlignment="0" applyProtection="0"/>
    <xf numFmtId="275" fontId="17" fillId="0" borderId="0" applyFont="0" applyFill="0" applyBorder="0" applyAlignment="0" applyProtection="0"/>
    <xf numFmtId="275" fontId="17" fillId="0" borderId="0" applyFont="0" applyFill="0" applyBorder="0" applyAlignment="0" applyProtection="0"/>
    <xf numFmtId="276" fontId="17" fillId="0" borderId="0" applyFont="0" applyFill="0" applyBorder="0" applyAlignment="0" applyProtection="0"/>
    <xf numFmtId="276" fontId="1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41" fontId="97" fillId="0" borderId="0" applyFont="0" applyFill="0" applyBorder="0" applyAlignment="0" applyProtection="0"/>
    <xf numFmtId="41" fontId="97" fillId="0" borderId="0" applyFont="0" applyFill="0" applyBorder="0" applyAlignment="0" applyProtection="0"/>
    <xf numFmtId="41" fontId="97" fillId="0" borderId="0" applyFont="0" applyFill="0" applyBorder="0" applyAlignment="0" applyProtection="0"/>
    <xf numFmtId="41" fontId="97" fillId="0" borderId="0" applyFont="0" applyFill="0" applyBorder="0" applyAlignment="0" applyProtection="0"/>
    <xf numFmtId="41" fontId="97" fillId="0" borderId="0" applyFont="0" applyFill="0" applyBorder="0" applyAlignment="0" applyProtection="0"/>
    <xf numFmtId="41" fontId="97" fillId="0" borderId="0" applyFont="0" applyFill="0" applyBorder="0" applyAlignment="0" applyProtection="0"/>
    <xf numFmtId="167" fontId="97" fillId="0" borderId="0" applyFont="0" applyFill="0" applyBorder="0" applyAlignment="0" applyProtection="0"/>
    <xf numFmtId="170" fontId="97" fillId="0" borderId="0" applyFont="0" applyFill="0" applyBorder="0" applyAlignment="0" applyProtection="0"/>
    <xf numFmtId="167" fontId="97" fillId="0" borderId="0" applyFont="0" applyFill="0" applyBorder="0" applyAlignment="0" applyProtection="0"/>
    <xf numFmtId="170" fontId="97" fillId="0" borderId="0" applyFont="0" applyFill="0" applyBorder="0" applyAlignment="0" applyProtection="0"/>
    <xf numFmtId="167" fontId="97" fillId="0" borderId="0" applyFont="0" applyFill="0" applyBorder="0" applyAlignment="0" applyProtection="0"/>
    <xf numFmtId="167" fontId="97" fillId="0" borderId="0" applyFont="0" applyFill="0" applyBorder="0" applyAlignment="0" applyProtection="0"/>
    <xf numFmtId="41" fontId="97" fillId="0" borderId="0" applyFont="0" applyFill="0" applyBorder="0" applyAlignment="0" applyProtection="0"/>
    <xf numFmtId="41" fontId="97" fillId="0" borderId="0" applyFont="0" applyFill="0" applyBorder="0" applyAlignment="0" applyProtection="0"/>
    <xf numFmtId="167" fontId="97" fillId="0" borderId="0" applyFont="0" applyFill="0" applyBorder="0" applyAlignment="0" applyProtection="0"/>
    <xf numFmtId="171" fontId="97" fillId="0" borderId="0" applyFont="0" applyFill="0" applyBorder="0" applyAlignment="0" applyProtection="0"/>
    <xf numFmtId="169" fontId="97" fillId="0" borderId="0" applyFont="0" applyFill="0" applyBorder="0" applyAlignment="0" applyProtection="0"/>
    <xf numFmtId="277" fontId="25" fillId="0" borderId="0" applyFont="0" applyFill="0" applyBorder="0" applyAlignment="0" applyProtection="0"/>
    <xf numFmtId="277" fontId="25" fillId="0" borderId="0" applyFont="0" applyFill="0" applyBorder="0" applyAlignment="0" applyProtection="0"/>
    <xf numFmtId="277" fontId="25" fillId="0" borderId="0" applyFont="0" applyFill="0" applyBorder="0" applyAlignment="0" applyProtection="0"/>
    <xf numFmtId="277" fontId="25" fillId="0" borderId="0" applyFont="0" applyFill="0" applyBorder="0" applyAlignment="0" applyProtection="0"/>
    <xf numFmtId="171" fontId="97" fillId="0" borderId="0" applyFont="0" applyFill="0" applyBorder="0" applyAlignment="0" applyProtection="0"/>
    <xf numFmtId="171" fontId="97" fillId="0" borderId="0" applyFont="0" applyFill="0" applyBorder="0" applyAlignment="0" applyProtection="0"/>
    <xf numFmtId="277" fontId="25" fillId="0" borderId="0" applyFont="0" applyFill="0" applyBorder="0" applyAlignment="0" applyProtection="0"/>
    <xf numFmtId="277" fontId="25" fillId="0" borderId="0" applyFont="0" applyFill="0" applyBorder="0" applyAlignment="0" applyProtection="0"/>
    <xf numFmtId="278" fontId="17" fillId="0" borderId="0" applyFont="0" applyFill="0" applyBorder="0" applyAlignment="0" applyProtection="0"/>
    <xf numFmtId="278" fontId="17" fillId="0" borderId="0" applyFont="0" applyFill="0" applyBorder="0" applyAlignment="0" applyProtection="0"/>
    <xf numFmtId="279" fontId="17" fillId="0" borderId="0" applyFont="0" applyFill="0" applyBorder="0" applyAlignment="0" applyProtection="0"/>
    <xf numFmtId="279" fontId="17" fillId="0" borderId="0" applyFont="0" applyFill="0" applyBorder="0" applyAlignment="0" applyProtection="0"/>
    <xf numFmtId="169" fontId="97" fillId="0" borderId="0" applyFont="0" applyFill="0" applyBorder="0" applyAlignment="0" applyProtection="0"/>
    <xf numFmtId="169" fontId="97" fillId="0" borderId="0" applyFont="0" applyFill="0" applyBorder="0" applyAlignment="0" applyProtection="0"/>
    <xf numFmtId="169" fontId="97" fillId="0" borderId="0" applyFont="0" applyFill="0" applyBorder="0" applyAlignment="0" applyProtection="0"/>
    <xf numFmtId="169" fontId="97" fillId="0" borderId="0" applyFont="0" applyFill="0" applyBorder="0" applyAlignment="0" applyProtection="0"/>
    <xf numFmtId="169" fontId="97" fillId="0" borderId="0" applyFont="0" applyFill="0" applyBorder="0" applyAlignment="0" applyProtection="0"/>
    <xf numFmtId="169"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169" fontId="97" fillId="0" borderId="0" applyFont="0" applyFill="0" applyBorder="0" applyAlignment="0" applyProtection="0"/>
    <xf numFmtId="171" fontId="97" fillId="0" borderId="0" applyFont="0" applyFill="0" applyBorder="0" applyAlignment="0" applyProtection="0"/>
    <xf numFmtId="169" fontId="97" fillId="0" borderId="0" applyFont="0" applyFill="0" applyBorder="0" applyAlignment="0" applyProtection="0"/>
    <xf numFmtId="171" fontId="97" fillId="0" borderId="0" applyFont="0" applyFill="0" applyBorder="0" applyAlignment="0" applyProtection="0"/>
    <xf numFmtId="169" fontId="97" fillId="0" borderId="0" applyFont="0" applyFill="0" applyBorder="0" applyAlignment="0" applyProtection="0"/>
    <xf numFmtId="169"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169" fontId="97" fillId="0" borderId="0" applyFont="0" applyFill="0" applyBorder="0" applyAlignment="0" applyProtection="0"/>
    <xf numFmtId="3" fontId="17" fillId="0" borderId="0" applyFont="0" applyBorder="0" applyAlignment="0"/>
    <xf numFmtId="0" fontId="103" fillId="33" borderId="0" applyNumberFormat="0" applyBorder="0" applyAlignment="0" applyProtection="0"/>
    <xf numFmtId="0" fontId="103" fillId="34" borderId="0" applyNumberFormat="0" applyBorder="0" applyAlignment="0" applyProtection="0"/>
    <xf numFmtId="0" fontId="103" fillId="35" borderId="0" applyNumberFormat="0" applyBorder="0" applyAlignment="0" applyProtection="0"/>
    <xf numFmtId="0" fontId="25" fillId="0" borderId="0" applyFill="0" applyBorder="0" applyAlignment="0"/>
    <xf numFmtId="228" fontId="73" fillId="0" borderId="0" applyFill="0" applyBorder="0" applyAlignment="0"/>
    <xf numFmtId="231" fontId="73" fillId="0" borderId="0" applyFill="0" applyBorder="0" applyAlignment="0"/>
    <xf numFmtId="232" fontId="73" fillId="0" borderId="0" applyFill="0" applyBorder="0" applyAlignment="0"/>
    <xf numFmtId="228" fontId="73" fillId="0" borderId="0" applyFill="0" applyBorder="0" applyAlignment="0"/>
    <xf numFmtId="0" fontId="104" fillId="0" borderId="0" applyNumberFormat="0" applyAlignment="0">
      <alignment horizontal="left"/>
    </xf>
    <xf numFmtId="280" fontId="105" fillId="0" borderId="0">
      <protection locked="0"/>
    </xf>
    <xf numFmtId="280" fontId="105" fillId="0" borderId="0">
      <protection locked="0"/>
    </xf>
    <xf numFmtId="0" fontId="106" fillId="0" borderId="0"/>
    <xf numFmtId="0" fontId="107" fillId="0" borderId="0" applyNumberFormat="0" applyFill="0" applyBorder="0" applyAlignment="0" applyProtection="0"/>
    <xf numFmtId="0" fontId="107" fillId="0" borderId="0" applyNumberFormat="0" applyFill="0" applyBorder="0" applyAlignment="0" applyProtection="0"/>
    <xf numFmtId="0" fontId="107" fillId="0" borderId="0" applyNumberFormat="0" applyFill="0" applyBorder="0" applyAlignment="0" applyProtection="0"/>
    <xf numFmtId="3" fontId="17" fillId="0" borderId="0" applyFont="0" applyBorder="0" applyAlignment="0"/>
    <xf numFmtId="0" fontId="25" fillId="0" borderId="0"/>
    <xf numFmtId="0" fontId="25" fillId="0" borderId="0"/>
    <xf numFmtId="4" fontId="108" fillId="0" borderId="0">
      <protection locked="0"/>
    </xf>
    <xf numFmtId="281" fontId="108" fillId="0" borderId="0">
      <protection locked="0"/>
    </xf>
    <xf numFmtId="2" fontId="25" fillId="0" borderId="0" applyFont="0" applyFill="0" applyBorder="0" applyAlignment="0" applyProtection="0"/>
    <xf numFmtId="0" fontId="109" fillId="0" borderId="0" applyNumberFormat="0" applyFill="0" applyBorder="0" applyAlignment="0" applyProtection="0"/>
    <xf numFmtId="0" fontId="110" fillId="0" borderId="0" applyNumberFormat="0" applyFill="0" applyBorder="0" applyProtection="0">
      <alignment vertical="center"/>
    </xf>
    <xf numFmtId="0" fontId="111" fillId="0" borderId="0" applyNumberFormat="0" applyFill="0" applyBorder="0" applyAlignment="0" applyProtection="0"/>
    <xf numFmtId="0" fontId="112" fillId="0" borderId="0" applyNumberFormat="0" applyFill="0" applyBorder="0" applyProtection="0">
      <alignment vertical="center"/>
    </xf>
    <xf numFmtId="0" fontId="113" fillId="0" borderId="0" applyNumberFormat="0" applyFill="0" applyBorder="0" applyAlignment="0" applyProtection="0"/>
    <xf numFmtId="0" fontId="114" fillId="0" borderId="0" applyNumberFormat="0" applyFill="0" applyBorder="0" applyAlignment="0" applyProtection="0"/>
    <xf numFmtId="282" fontId="115" fillId="0" borderId="18" applyNumberFormat="0" applyFill="0" applyBorder="0" applyAlignment="0" applyProtection="0"/>
    <xf numFmtId="0" fontId="116" fillId="0" borderId="0" applyNumberFormat="0" applyFill="0" applyBorder="0" applyAlignment="0" applyProtection="0"/>
    <xf numFmtId="0" fontId="25" fillId="36" borderId="19" applyNumberFormat="0" applyFont="0" applyAlignment="0" applyProtection="0"/>
    <xf numFmtId="0" fontId="119" fillId="0" borderId="0">
      <alignment vertical="top" wrapText="1"/>
    </xf>
    <xf numFmtId="0" fontId="117" fillId="8" borderId="0" applyNumberFormat="0" applyBorder="0" applyAlignment="0" applyProtection="0"/>
    <xf numFmtId="0" fontId="117" fillId="8" borderId="0" applyNumberFormat="0" applyBorder="0" applyAlignment="0" applyProtection="0"/>
    <xf numFmtId="0" fontId="117" fillId="8" borderId="0" applyNumberFormat="0" applyBorder="0" applyAlignment="0" applyProtection="0"/>
    <xf numFmtId="38" fontId="118" fillId="37" borderId="0" applyNumberFormat="0" applyBorder="0" applyAlignment="0" applyProtection="0"/>
    <xf numFmtId="38" fontId="118" fillId="3" borderId="0" applyNumberFormat="0" applyBorder="0" applyAlignment="0" applyProtection="0"/>
    <xf numFmtId="283" fontId="9" fillId="3" borderId="0" applyBorder="0" applyProtection="0"/>
    <xf numFmtId="0" fontId="120" fillId="0" borderId="20" applyNumberFormat="0" applyFill="0" applyBorder="0" applyAlignment="0" applyProtection="0">
      <alignment horizontal="center" vertical="center"/>
    </xf>
    <xf numFmtId="284" fontId="17" fillId="38" borderId="20" applyBorder="0">
      <alignment horizontal="center"/>
    </xf>
    <xf numFmtId="285" fontId="17" fillId="38" borderId="20" applyBorder="0">
      <alignment horizontal="center"/>
    </xf>
    <xf numFmtId="285" fontId="17" fillId="38" borderId="20" applyBorder="0">
      <alignment horizontal="center"/>
    </xf>
    <xf numFmtId="285" fontId="17" fillId="38" borderId="20" applyBorder="0">
      <alignment horizontal="center"/>
    </xf>
    <xf numFmtId="284" fontId="17" fillId="38" borderId="20" applyBorder="0">
      <alignment horizontal="center"/>
    </xf>
    <xf numFmtId="285" fontId="17" fillId="38" borderId="20" applyBorder="0">
      <alignment horizontal="center"/>
    </xf>
    <xf numFmtId="285" fontId="17" fillId="38" borderId="20" applyBorder="0">
      <alignment horizontal="center"/>
    </xf>
    <xf numFmtId="285" fontId="17" fillId="38" borderId="20" applyBorder="0">
      <alignment horizontal="center"/>
    </xf>
    <xf numFmtId="285" fontId="17" fillId="38" borderId="20" applyBorder="0">
      <alignment horizontal="center"/>
    </xf>
    <xf numFmtId="284" fontId="17" fillId="38" borderId="20" applyBorder="0">
      <alignment horizontal="center"/>
    </xf>
    <xf numFmtId="285" fontId="17" fillId="38" borderId="20" applyBorder="0">
      <alignment horizontal="center"/>
    </xf>
    <xf numFmtId="285" fontId="17" fillId="38" borderId="20" applyBorder="0">
      <alignment horizontal="center"/>
    </xf>
    <xf numFmtId="285" fontId="17" fillId="38" borderId="20" applyBorder="0">
      <alignment horizontal="center"/>
    </xf>
    <xf numFmtId="284" fontId="17" fillId="38" borderId="20" applyBorder="0">
      <alignment horizontal="center"/>
    </xf>
    <xf numFmtId="285" fontId="17" fillId="38" borderId="20" applyBorder="0">
      <alignment horizontal="center"/>
    </xf>
    <xf numFmtId="285" fontId="17" fillId="38" borderId="20" applyBorder="0">
      <alignment horizontal="center"/>
    </xf>
    <xf numFmtId="285" fontId="17" fillId="38" borderId="20" applyBorder="0">
      <alignment horizontal="center"/>
    </xf>
    <xf numFmtId="285" fontId="17" fillId="38" borderId="20" applyBorder="0">
      <alignment horizontal="center"/>
    </xf>
    <xf numFmtId="285" fontId="17" fillId="38" borderId="20" applyBorder="0">
      <alignment horizontal="center"/>
    </xf>
    <xf numFmtId="284" fontId="17" fillId="38" borderId="20" applyBorder="0">
      <alignment horizontal="center"/>
    </xf>
    <xf numFmtId="285" fontId="17" fillId="38" borderId="20" applyBorder="0">
      <alignment horizontal="center"/>
    </xf>
    <xf numFmtId="285" fontId="17" fillId="38" borderId="20" applyBorder="0">
      <alignment horizontal="center"/>
    </xf>
    <xf numFmtId="285" fontId="17" fillId="38" borderId="20" applyBorder="0">
      <alignment horizontal="center"/>
    </xf>
    <xf numFmtId="0" fontId="121" fillId="0" borderId="0" applyNumberFormat="0" applyFont="0" applyBorder="0" applyAlignment="0">
      <alignment horizontal="left" vertical="center"/>
    </xf>
    <xf numFmtId="286" fontId="68" fillId="0" borderId="0" applyFont="0" applyFill="0" applyBorder="0" applyAlignment="0" applyProtection="0"/>
    <xf numFmtId="0" fontId="122" fillId="39" borderId="0"/>
    <xf numFmtId="0" fontId="123" fillId="0" borderId="0">
      <alignment horizontal="left"/>
    </xf>
    <xf numFmtId="0" fontId="124" fillId="0" borderId="21" applyNumberFormat="0" applyAlignment="0" applyProtection="0">
      <alignment horizontal="left" vertical="center"/>
    </xf>
    <xf numFmtId="0" fontId="124" fillId="0" borderId="21" applyNumberFormat="0" applyAlignment="0" applyProtection="0">
      <alignment horizontal="left" vertical="center"/>
    </xf>
    <xf numFmtId="0" fontId="124" fillId="0" borderId="22">
      <alignment horizontal="left" vertical="center"/>
    </xf>
    <xf numFmtId="0" fontId="125" fillId="0" borderId="0" applyNumberFormat="0" applyFill="0" applyBorder="0" applyAlignment="0" applyProtection="0"/>
    <xf numFmtId="0" fontId="126" fillId="0" borderId="0" applyNumberFormat="0" applyFill="0" applyBorder="0" applyAlignment="0" applyProtection="0"/>
    <xf numFmtId="0" fontId="100" fillId="0" borderId="15" applyNumberFormat="0" applyFill="0" applyAlignment="0" applyProtection="0"/>
    <xf numFmtId="0" fontId="126" fillId="0" borderId="0" applyNumberFormat="0" applyFill="0" applyBorder="0" applyAlignment="0" applyProtection="0"/>
    <xf numFmtId="0" fontId="124" fillId="0" borderId="0" applyNumberFormat="0" applyFill="0" applyBorder="0" applyAlignment="0" applyProtection="0"/>
    <xf numFmtId="0" fontId="101" fillId="0" borderId="16" applyNumberFormat="0" applyFill="0" applyAlignment="0" applyProtection="0"/>
    <xf numFmtId="0" fontId="124" fillId="0" borderId="0" applyNumberFormat="0" applyFill="0" applyBorder="0" applyAlignment="0" applyProtection="0"/>
    <xf numFmtId="0" fontId="102" fillId="0" borderId="17" applyNumberFormat="0" applyFill="0" applyAlignment="0" applyProtection="0"/>
    <xf numFmtId="0" fontId="102" fillId="0" borderId="17" applyNumberFormat="0" applyFill="0" applyAlignment="0" applyProtection="0"/>
    <xf numFmtId="0" fontId="102" fillId="0" borderId="17" applyNumberFormat="0" applyFill="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280" fontId="127" fillId="0" borderId="0">
      <protection locked="0"/>
    </xf>
    <xf numFmtId="287" fontId="16" fillId="0" borderId="0">
      <protection locked="0"/>
    </xf>
    <xf numFmtId="0" fontId="126" fillId="0" borderId="0" applyProtection="0"/>
    <xf numFmtId="0" fontId="128" fillId="0" borderId="0" applyProtection="0"/>
    <xf numFmtId="280" fontId="127" fillId="0" borderId="0">
      <protection locked="0"/>
    </xf>
    <xf numFmtId="0" fontId="124" fillId="0" borderId="0" applyProtection="0"/>
    <xf numFmtId="0" fontId="129" fillId="0" borderId="23">
      <alignment horizontal="center"/>
    </xf>
    <xf numFmtId="0" fontId="129" fillId="0" borderId="0">
      <alignment horizontal="center"/>
    </xf>
    <xf numFmtId="164" fontId="130" fillId="40" borderId="1" applyNumberFormat="0" applyAlignment="0">
      <alignment horizontal="left" vertical="top"/>
    </xf>
    <xf numFmtId="0" fontId="131" fillId="0" borderId="0"/>
    <xf numFmtId="49" fontId="132" fillId="0" borderId="1">
      <alignment vertical="center"/>
    </xf>
    <xf numFmtId="0" fontId="69" fillId="0" borderId="0"/>
    <xf numFmtId="170" fontId="17" fillId="0" borderId="0" applyFont="0" applyFill="0" applyBorder="0" applyAlignment="0" applyProtection="0"/>
    <xf numFmtId="38" fontId="32" fillId="0" borderId="0" applyFont="0" applyFill="0" applyBorder="0" applyAlignment="0" applyProtection="0"/>
    <xf numFmtId="167" fontId="37" fillId="0" borderId="0" applyFont="0" applyFill="0" applyBorder="0" applyAlignment="0" applyProtection="0"/>
    <xf numFmtId="204" fontId="32" fillId="0" borderId="0" applyFill="0" applyBorder="0" applyAlignment="0" applyProtection="0"/>
    <xf numFmtId="192" fontId="32" fillId="0" borderId="0" applyFill="0" applyBorder="0" applyAlignment="0" applyProtection="0"/>
    <xf numFmtId="285" fontId="133" fillId="0" borderId="0" applyFont="0" applyFill="0" applyBorder="0" applyAlignment="0" applyProtection="0"/>
    <xf numFmtId="10" fontId="118" fillId="37" borderId="1" applyNumberFormat="0" applyBorder="0" applyAlignment="0" applyProtection="0"/>
    <xf numFmtId="10" fontId="118" fillId="41" borderId="1" applyNumberFormat="0" applyBorder="0" applyAlignment="0" applyProtection="0"/>
    <xf numFmtId="0" fontId="99" fillId="11" borderId="7" applyNumberFormat="0" applyAlignment="0" applyProtection="0"/>
    <xf numFmtId="0" fontId="99" fillId="11" borderId="7" applyNumberFormat="0" applyAlignment="0" applyProtection="0"/>
    <xf numFmtId="0" fontId="99" fillId="11" borderId="7" applyNumberFormat="0" applyAlignment="0" applyProtection="0"/>
    <xf numFmtId="228" fontId="134" fillId="42" borderId="0"/>
    <xf numFmtId="2" fontId="135" fillId="0" borderId="24" applyBorder="0"/>
    <xf numFmtId="0" fontId="136"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7" fillId="0" borderId="25" applyNumberFormat="0" applyFont="0" applyFill="0" applyAlignment="0" applyProtection="0"/>
    <xf numFmtId="0" fontId="17" fillId="0" borderId="26" applyNumberFormat="0" applyFont="0" applyFill="0" applyAlignment="0" applyProtection="0"/>
    <xf numFmtId="169" fontId="139" fillId="0" borderId="0"/>
    <xf numFmtId="170" fontId="17" fillId="0" borderId="0" applyFont="0" applyFill="0" applyBorder="0" applyAlignment="0" applyProtection="0"/>
    <xf numFmtId="0" fontId="17" fillId="0" borderId="0"/>
    <xf numFmtId="0" fontId="62" fillId="0" borderId="27">
      <alignment horizontal="centerContinuous"/>
    </xf>
    <xf numFmtId="0" fontId="38" fillId="0" borderId="0">
      <alignment vertical="top"/>
    </xf>
    <xf numFmtId="0" fontId="32" fillId="0" borderId="0"/>
    <xf numFmtId="0" fontId="69" fillId="0" borderId="0" applyNumberFormat="0" applyFont="0" applyFill="0" applyBorder="0" applyProtection="0">
      <alignment horizontal="left" vertical="center"/>
    </xf>
    <xf numFmtId="0" fontId="32" fillId="0" borderId="0"/>
    <xf numFmtId="0" fontId="25" fillId="0" borderId="0" applyFill="0" applyBorder="0" applyAlignment="0"/>
    <xf numFmtId="228" fontId="73" fillId="0" borderId="0" applyFill="0" applyBorder="0" applyAlignment="0"/>
    <xf numFmtId="231" fontId="73" fillId="0" borderId="0" applyFill="0" applyBorder="0" applyAlignment="0"/>
    <xf numFmtId="232" fontId="73" fillId="0" borderId="0" applyFill="0" applyBorder="0" applyAlignment="0"/>
    <xf numFmtId="228" fontId="73" fillId="0" borderId="0" applyFill="0" applyBorder="0" applyAlignment="0"/>
    <xf numFmtId="0" fontId="140" fillId="0" borderId="0" applyNumberFormat="0" applyFill="0" applyBorder="0" applyAlignment="0" applyProtection="0"/>
    <xf numFmtId="0" fontId="141" fillId="0" borderId="28" applyNumberFormat="0" applyFill="0" applyAlignment="0" applyProtection="0"/>
    <xf numFmtId="0" fontId="141" fillId="0" borderId="28" applyNumberFormat="0" applyFill="0" applyAlignment="0" applyProtection="0"/>
    <xf numFmtId="0" fontId="141" fillId="0" borderId="28" applyNumberFormat="0" applyFill="0" applyAlignment="0" applyProtection="0"/>
    <xf numFmtId="228" fontId="142" fillId="43" borderId="0"/>
    <xf numFmtId="3" fontId="143" fillId="0" borderId="14" applyNumberFormat="0" applyAlignment="0">
      <alignment horizontal="center" vertical="center"/>
    </xf>
    <xf numFmtId="3" fontId="49" fillId="0" borderId="14" applyNumberFormat="0" applyAlignment="0">
      <alignment horizontal="center" vertical="center"/>
    </xf>
    <xf numFmtId="3" fontId="130" fillId="0" borderId="14" applyNumberFormat="0" applyAlignment="0">
      <alignment horizontal="center" vertical="center"/>
    </xf>
    <xf numFmtId="233" fontId="118" fillId="0" borderId="4" applyFont="0"/>
    <xf numFmtId="3" fontId="25" fillId="0" borderId="25"/>
    <xf numFmtId="241" fontId="144" fillId="0" borderId="29" applyNumberFormat="0" applyFont="0" applyFill="0" applyBorder="0">
      <alignment horizontal="center"/>
    </xf>
    <xf numFmtId="38" fontId="32" fillId="0" borderId="0" applyFont="0" applyFill="0" applyBorder="0" applyAlignment="0" applyProtection="0"/>
    <xf numFmtId="40" fontId="32" fillId="0" borderId="0" applyFont="0" applyFill="0" applyBorder="0" applyAlignment="0" applyProtection="0"/>
    <xf numFmtId="170" fontId="25" fillId="0" borderId="0" applyFont="0" applyFill="0" applyBorder="0" applyAlignment="0" applyProtection="0"/>
    <xf numFmtId="171" fontId="25" fillId="0" borderId="0" applyFont="0" applyFill="0" applyBorder="0" applyAlignment="0" applyProtection="0"/>
    <xf numFmtId="0" fontId="37" fillId="44" borderId="0"/>
    <xf numFmtId="0" fontId="146" fillId="0" borderId="8"/>
    <xf numFmtId="0" fontId="145" fillId="0" borderId="23"/>
    <xf numFmtId="288" fontId="25" fillId="0" borderId="29"/>
    <xf numFmtId="289" fontId="25" fillId="0" borderId="0" applyFont="0" applyFill="0" applyBorder="0" applyAlignment="0" applyProtection="0"/>
    <xf numFmtId="290" fontId="25" fillId="0" borderId="0" applyFont="0" applyFill="0" applyBorder="0" applyAlignment="0" applyProtection="0"/>
    <xf numFmtId="291" fontId="32" fillId="0" borderId="0" applyFont="0" applyFill="0" applyBorder="0" applyAlignment="0" applyProtection="0"/>
    <xf numFmtId="292" fontId="32" fillId="0" borderId="0" applyFont="0" applyFill="0" applyBorder="0" applyAlignment="0" applyProtection="0"/>
    <xf numFmtId="293" fontId="108" fillId="0" borderId="0">
      <protection locked="0"/>
    </xf>
    <xf numFmtId="294" fontId="25" fillId="0" borderId="0" applyFont="0" applyFill="0" applyBorder="0" applyAlignment="0" applyProtection="0"/>
    <xf numFmtId="295" fontId="25" fillId="0" borderId="0" applyFont="0" applyFill="0" applyBorder="0" applyAlignment="0" applyProtection="0"/>
    <xf numFmtId="296" fontId="22" fillId="0" borderId="0" applyFont="0" applyFill="0" applyBorder="0" applyAlignment="0" applyProtection="0"/>
    <xf numFmtId="297" fontId="22" fillId="0" borderId="0" applyFont="0" applyFill="0" applyBorder="0" applyAlignment="0" applyProtection="0"/>
    <xf numFmtId="296" fontId="32" fillId="0" borderId="0" applyFont="0" applyFill="0" applyBorder="0" applyAlignment="0" applyProtection="0"/>
    <xf numFmtId="297" fontId="32" fillId="0" borderId="0" applyFont="0" applyFill="0" applyBorder="0" applyAlignment="0" applyProtection="0"/>
    <xf numFmtId="0" fontId="147" fillId="0" borderId="0" applyNumberFormat="0" applyFont="0" applyFill="0" applyAlignment="0"/>
    <xf numFmtId="0" fontId="10" fillId="0" borderId="0" applyNumberFormat="0" applyFill="0" applyAlignment="0"/>
    <xf numFmtId="0" fontId="32" fillId="0" borderId="0" applyNumberFormat="0" applyFill="0" applyAlignment="0"/>
    <xf numFmtId="0" fontId="147" fillId="0" borderId="0" applyNumberFormat="0" applyFont="0" applyFill="0" applyAlignment="0"/>
    <xf numFmtId="0" fontId="88" fillId="0" borderId="0">
      <alignment horizontal="justify" vertical="top"/>
    </xf>
    <xf numFmtId="0" fontId="139" fillId="0" borderId="0"/>
    <xf numFmtId="0" fontId="148" fillId="45" borderId="0" applyNumberFormat="0" applyBorder="0" applyAlignment="0" applyProtection="0"/>
    <xf numFmtId="0" fontId="148" fillId="45" borderId="0" applyNumberFormat="0" applyBorder="0" applyAlignment="0" applyProtection="0"/>
    <xf numFmtId="0" fontId="148" fillId="45" borderId="0" applyNumberFormat="0" applyBorder="0" applyAlignment="0" applyProtection="0"/>
    <xf numFmtId="0" fontId="69" fillId="0" borderId="0"/>
    <xf numFmtId="0" fontId="24" fillId="0" borderId="8" applyNumberFormat="0" applyAlignment="0">
      <alignment horizontal="center"/>
    </xf>
    <xf numFmtId="0" fontId="57" fillId="20" borderId="0" applyNumberFormat="0" applyBorder="0" applyAlignment="0" applyProtection="0"/>
    <xf numFmtId="0" fontId="57" fillId="23" borderId="0" applyNumberFormat="0" applyBorder="0" applyAlignment="0" applyProtection="0"/>
    <xf numFmtId="0" fontId="57" fillId="27" borderId="0" applyNumberFormat="0" applyBorder="0" applyAlignment="0" applyProtection="0"/>
    <xf numFmtId="0" fontId="57" fillId="17" borderId="0" applyNumberFormat="0" applyBorder="0" applyAlignment="0" applyProtection="0"/>
    <xf numFmtId="0" fontId="57" fillId="18" borderId="0" applyNumberFormat="0" applyBorder="0" applyAlignment="0" applyProtection="0"/>
    <xf numFmtId="0" fontId="57" fillId="30" borderId="0" applyNumberFormat="0" applyBorder="0" applyAlignment="0" applyProtection="0"/>
    <xf numFmtId="37" fontId="149" fillId="0" borderId="0"/>
    <xf numFmtId="0" fontId="22" fillId="46" borderId="30" applyNumberFormat="0" applyBorder="0" applyAlignment="0">
      <alignment vertical="top"/>
    </xf>
    <xf numFmtId="0" fontId="150" fillId="0" borderId="1" applyNumberFormat="0" applyFont="0" applyFill="0" applyBorder="0" applyAlignment="0">
      <alignment horizontal="center"/>
    </xf>
    <xf numFmtId="0" fontId="151" fillId="0" borderId="0"/>
    <xf numFmtId="298" fontId="152" fillId="0" borderId="0"/>
    <xf numFmtId="299" fontId="152" fillId="0" borderId="0"/>
    <xf numFmtId="298" fontId="153" fillId="0" borderId="0"/>
    <xf numFmtId="0" fontId="154" fillId="0" borderId="0"/>
    <xf numFmtId="0" fontId="155" fillId="0" borderId="0"/>
    <xf numFmtId="0" fontId="249" fillId="0" borderId="0"/>
    <xf numFmtId="0" fontId="12" fillId="0" borderId="0"/>
    <xf numFmtId="0" fontId="12" fillId="0" borderId="0"/>
    <xf numFmtId="0" fontId="245" fillId="0" borderId="0"/>
    <xf numFmtId="0" fontId="10" fillId="0" borderId="0"/>
    <xf numFmtId="0" fontId="12" fillId="0" borderId="0"/>
    <xf numFmtId="0" fontId="12" fillId="0" borderId="0"/>
    <xf numFmtId="0" fontId="246" fillId="0" borderId="0"/>
    <xf numFmtId="0" fontId="25" fillId="0" borderId="0"/>
    <xf numFmtId="0" fontId="12" fillId="0" borderId="0"/>
    <xf numFmtId="0" fontId="12" fillId="0" borderId="0"/>
    <xf numFmtId="0" fontId="10" fillId="0" borderId="0"/>
    <xf numFmtId="0" fontId="12" fillId="0" borderId="0"/>
    <xf numFmtId="0" fontId="25" fillId="0" borderId="0"/>
    <xf numFmtId="0" fontId="245" fillId="0" borderId="0"/>
    <xf numFmtId="0" fontId="250" fillId="0" borderId="0"/>
    <xf numFmtId="0" fontId="156"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1" fillId="0" borderId="0"/>
    <xf numFmtId="0" fontId="157" fillId="0" borderId="0"/>
    <xf numFmtId="0" fontId="249" fillId="0" borderId="0"/>
    <xf numFmtId="0" fontId="12" fillId="0" borderId="0"/>
    <xf numFmtId="0" fontId="251" fillId="0" borderId="0"/>
    <xf numFmtId="0" fontId="10" fillId="0" borderId="0"/>
    <xf numFmtId="0" fontId="155" fillId="0" borderId="0"/>
    <xf numFmtId="0" fontId="25" fillId="0" borderId="0"/>
    <xf numFmtId="0" fontId="25" fillId="0" borderId="0"/>
    <xf numFmtId="0" fontId="245" fillId="0" borderId="0"/>
    <xf numFmtId="0" fontId="246" fillId="0" borderId="0"/>
    <xf numFmtId="0" fontId="25" fillId="0" borderId="0">
      <alignment vertical="top"/>
    </xf>
    <xf numFmtId="0" fontId="246" fillId="0" borderId="0"/>
    <xf numFmtId="0" fontId="246" fillId="0" borderId="0"/>
    <xf numFmtId="0" fontId="25" fillId="0" borderId="0"/>
    <xf numFmtId="0" fontId="245" fillId="0" borderId="0"/>
    <xf numFmtId="0" fontId="25" fillId="0" borderId="0"/>
    <xf numFmtId="0" fontId="10" fillId="0" borderId="0"/>
    <xf numFmtId="0" fontId="10" fillId="0" borderId="0"/>
    <xf numFmtId="0" fontId="10" fillId="0" borderId="0"/>
    <xf numFmtId="0" fontId="10" fillId="0" borderId="0"/>
    <xf numFmtId="0" fontId="12" fillId="0" borderId="0"/>
    <xf numFmtId="0" fontId="12" fillId="0" borderId="0"/>
    <xf numFmtId="0" fontId="12" fillId="0" borderId="0"/>
    <xf numFmtId="0" fontId="10" fillId="0" borderId="0"/>
    <xf numFmtId="0" fontId="10" fillId="0" borderId="0"/>
    <xf numFmtId="0" fontId="10" fillId="0" borderId="0"/>
    <xf numFmtId="0" fontId="10" fillId="0" borderId="0"/>
    <xf numFmtId="0" fontId="10" fillId="0" borderId="0"/>
    <xf numFmtId="0" fontId="158" fillId="0" borderId="0"/>
    <xf numFmtId="0" fontId="25" fillId="0" borderId="0"/>
    <xf numFmtId="0" fontId="25" fillId="0" borderId="0"/>
    <xf numFmtId="0" fontId="10" fillId="0" borderId="0"/>
    <xf numFmtId="0" fontId="252" fillId="0" borderId="0"/>
    <xf numFmtId="0" fontId="10" fillId="0" borderId="0"/>
    <xf numFmtId="0" fontId="245" fillId="0" borderId="0"/>
    <xf numFmtId="0" fontId="12" fillId="0" borderId="0"/>
    <xf numFmtId="0" fontId="10" fillId="0" borderId="0"/>
    <xf numFmtId="0" fontId="10" fillId="0" borderId="0"/>
    <xf numFmtId="0" fontId="12" fillId="0" borderId="0"/>
    <xf numFmtId="0" fontId="245" fillId="0" borderId="0"/>
    <xf numFmtId="0" fontId="245" fillId="0" borderId="0"/>
    <xf numFmtId="0" fontId="245" fillId="0" borderId="0"/>
    <xf numFmtId="0" fontId="249" fillId="0" borderId="0"/>
    <xf numFmtId="0" fontId="249" fillId="0" borderId="0"/>
    <xf numFmtId="0" fontId="246" fillId="0" borderId="0"/>
    <xf numFmtId="0" fontId="25" fillId="0" borderId="0"/>
    <xf numFmtId="0" fontId="12" fillId="0" borderId="0"/>
    <xf numFmtId="0" fontId="25" fillId="0" borderId="0"/>
    <xf numFmtId="0" fontId="12" fillId="0" borderId="0"/>
    <xf numFmtId="0" fontId="12" fillId="0" borderId="0"/>
    <xf numFmtId="0" fontId="25" fillId="0" borderId="0"/>
    <xf numFmtId="0" fontId="12" fillId="0" borderId="0"/>
    <xf numFmtId="0" fontId="245" fillId="0" borderId="0"/>
    <xf numFmtId="0" fontId="245" fillId="0" borderId="0"/>
    <xf numFmtId="0" fontId="245" fillId="0" borderId="0"/>
    <xf numFmtId="0" fontId="245" fillId="0" borderId="0"/>
    <xf numFmtId="0" fontId="25" fillId="0" borderId="0"/>
    <xf numFmtId="0" fontId="10" fillId="0" borderId="0"/>
    <xf numFmtId="0" fontId="10" fillId="0" borderId="0"/>
    <xf numFmtId="0" fontId="10" fillId="0" borderId="0"/>
    <xf numFmtId="0" fontId="10" fillId="0" borderId="0"/>
    <xf numFmtId="0" fontId="12" fillId="0" borderId="0"/>
    <xf numFmtId="0" fontId="246" fillId="0" borderId="0"/>
    <xf numFmtId="0" fontId="155" fillId="0" borderId="0"/>
    <xf numFmtId="0" fontId="246" fillId="0" borderId="0"/>
    <xf numFmtId="0" fontId="246" fillId="0" borderId="0"/>
    <xf numFmtId="0" fontId="156" fillId="0" borderId="0"/>
    <xf numFmtId="0" fontId="156" fillId="0" borderId="0"/>
    <xf numFmtId="0" fontId="248" fillId="0" borderId="0"/>
    <xf numFmtId="0" fontId="69" fillId="0" borderId="0"/>
    <xf numFmtId="0" fontId="69" fillId="0" borderId="0"/>
    <xf numFmtId="0" fontId="253" fillId="0" borderId="0" applyAlignment="0"/>
    <xf numFmtId="0" fontId="25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59" fillId="0" borderId="0"/>
    <xf numFmtId="0" fontId="25" fillId="0" borderId="0"/>
    <xf numFmtId="0" fontId="79" fillId="0" borderId="0"/>
    <xf numFmtId="0" fontId="17" fillId="0" borderId="0"/>
    <xf numFmtId="0" fontId="10" fillId="0" borderId="0"/>
    <xf numFmtId="0" fontId="17" fillId="0" borderId="0"/>
    <xf numFmtId="0" fontId="246" fillId="0" borderId="0"/>
    <xf numFmtId="0" fontId="37" fillId="0" borderId="0"/>
    <xf numFmtId="0" fontId="25" fillId="0" borderId="0"/>
    <xf numFmtId="0" fontId="246" fillId="0" borderId="0"/>
    <xf numFmtId="0" fontId="251" fillId="0" borderId="0"/>
    <xf numFmtId="0" fontId="25" fillId="0" borderId="0"/>
    <xf numFmtId="0" fontId="10" fillId="0" borderId="0"/>
    <xf numFmtId="0" fontId="245" fillId="0" borderId="0"/>
    <xf numFmtId="0" fontId="245" fillId="0" borderId="0"/>
    <xf numFmtId="0" fontId="25" fillId="0" borderId="0"/>
    <xf numFmtId="0" fontId="251" fillId="0" borderId="0"/>
    <xf numFmtId="0" fontId="12" fillId="0" borderId="0"/>
    <xf numFmtId="0" fontId="12" fillId="0" borderId="0"/>
    <xf numFmtId="0" fontId="246"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69" fillId="0" borderId="0"/>
    <xf numFmtId="0" fontId="159" fillId="0" borderId="0"/>
    <xf numFmtId="0" fontId="69" fillId="0" borderId="0"/>
    <xf numFmtId="0" fontId="160" fillId="0" borderId="0"/>
    <xf numFmtId="0" fontId="25" fillId="0" borderId="0"/>
    <xf numFmtId="0" fontId="246" fillId="0" borderId="0"/>
    <xf numFmtId="0" fontId="25" fillId="0" borderId="0"/>
    <xf numFmtId="0" fontId="1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69" fillId="0" borderId="0"/>
    <xf numFmtId="0" fontId="10" fillId="0" borderId="0"/>
    <xf numFmtId="0" fontId="159" fillId="0" borderId="0"/>
    <xf numFmtId="0" fontId="25" fillId="0" borderId="0"/>
    <xf numFmtId="0" fontId="12" fillId="0" borderId="0"/>
    <xf numFmtId="0" fontId="12" fillId="0" borderId="0"/>
    <xf numFmtId="0" fontId="12" fillId="0" borderId="0"/>
    <xf numFmtId="0" fontId="12" fillId="0" borderId="0"/>
    <xf numFmtId="0" fontId="245" fillId="0" borderId="0"/>
    <xf numFmtId="0" fontId="245" fillId="0" borderId="0"/>
    <xf numFmtId="0" fontId="69" fillId="0" borderId="0"/>
    <xf numFmtId="0" fontId="16" fillId="0" borderId="0"/>
    <xf numFmtId="0" fontId="161" fillId="0" borderId="0" applyNumberFormat="0" applyFill="0" applyBorder="0" applyProtection="0">
      <alignment vertical="top"/>
    </xf>
    <xf numFmtId="0" fontId="10" fillId="0" borderId="0"/>
    <xf numFmtId="0" fontId="12" fillId="0" borderId="0"/>
    <xf numFmtId="0" fontId="12" fillId="0" borderId="0"/>
    <xf numFmtId="0" fontId="12" fillId="0" borderId="0"/>
    <xf numFmtId="0" fontId="246" fillId="0" borderId="0"/>
    <xf numFmtId="0" fontId="246" fillId="0" borderId="0"/>
    <xf numFmtId="0" fontId="17" fillId="0" borderId="0"/>
    <xf numFmtId="0" fontId="246" fillId="0" borderId="0"/>
    <xf numFmtId="0" fontId="12" fillId="0" borderId="0"/>
    <xf numFmtId="0" fontId="17" fillId="0" borderId="0"/>
    <xf numFmtId="0" fontId="246" fillId="0" borderId="0"/>
    <xf numFmtId="0" fontId="246" fillId="0" borderId="0"/>
    <xf numFmtId="0" fontId="12" fillId="0" borderId="0"/>
    <xf numFmtId="0" fontId="147" fillId="0" borderId="0"/>
    <xf numFmtId="0" fontId="12" fillId="0" borderId="0"/>
    <xf numFmtId="0" fontId="12" fillId="0" borderId="0"/>
    <xf numFmtId="0" fontId="12" fillId="0" borderId="0"/>
    <xf numFmtId="0" fontId="155" fillId="0" borderId="0">
      <alignment vertical="top"/>
    </xf>
    <xf numFmtId="0" fontId="12" fillId="0" borderId="0"/>
    <xf numFmtId="0" fontId="245" fillId="0" borderId="0"/>
    <xf numFmtId="0" fontId="25" fillId="0" borderId="0"/>
    <xf numFmtId="0" fontId="25" fillId="0" borderId="0"/>
    <xf numFmtId="0" fontId="25" fillId="0" borderId="0"/>
    <xf numFmtId="0" fontId="25" fillId="0" borderId="0"/>
    <xf numFmtId="0" fontId="17" fillId="0" borderId="0"/>
    <xf numFmtId="0" fontId="44" fillId="0" borderId="0" applyFont="0"/>
    <xf numFmtId="0" fontId="162" fillId="0" borderId="0">
      <alignment horizontal="left" vertical="top"/>
    </xf>
    <xf numFmtId="0" fontId="97" fillId="0" borderId="0"/>
    <xf numFmtId="0" fontId="25" fillId="0" borderId="0"/>
    <xf numFmtId="0" fontId="25" fillId="36" borderId="19" applyNumberFormat="0" applyFont="0" applyAlignment="0" applyProtection="0"/>
    <xf numFmtId="0" fontId="12" fillId="36" borderId="19" applyNumberFormat="0" applyFont="0" applyAlignment="0" applyProtection="0"/>
    <xf numFmtId="0" fontId="25" fillId="36" borderId="19" applyNumberFormat="0" applyFont="0" applyAlignment="0" applyProtection="0"/>
    <xf numFmtId="300" fontId="163" fillId="0" borderId="0" applyFont="0" applyFill="0" applyBorder="0" applyProtection="0">
      <alignment vertical="top" wrapText="1"/>
    </xf>
    <xf numFmtId="0" fontId="24" fillId="0" borderId="0"/>
    <xf numFmtId="3" fontId="164" fillId="0" borderId="0" applyFont="0" applyFill="0" applyBorder="0" applyAlignment="0" applyProtection="0"/>
    <xf numFmtId="170" fontId="42" fillId="0" borderId="0" applyFon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68" fillId="0" borderId="0" applyNumberFormat="0" applyFill="0" applyBorder="0" applyAlignment="0" applyProtection="0"/>
    <xf numFmtId="0" fontId="17" fillId="0" borderId="0" applyNumberFormat="0" applyFill="0" applyBorder="0" applyAlignment="0" applyProtection="0"/>
    <xf numFmtId="0" fontId="25" fillId="0" borderId="0" applyFont="0" applyFill="0" applyBorder="0" applyAlignment="0" applyProtection="0"/>
    <xf numFmtId="0" fontId="69" fillId="0" borderId="0"/>
    <xf numFmtId="0" fontId="98" fillId="4" borderId="13" applyNumberFormat="0" applyAlignment="0" applyProtection="0"/>
    <xf numFmtId="0" fontId="98" fillId="4" borderId="13" applyNumberFormat="0" applyAlignment="0" applyProtection="0"/>
    <xf numFmtId="0" fontId="98" fillId="4" borderId="13" applyNumberFormat="0" applyAlignment="0" applyProtection="0"/>
    <xf numFmtId="175" fontId="166" fillId="0" borderId="8" applyFont="0" applyBorder="0" applyAlignment="0"/>
    <xf numFmtId="0" fontId="22" fillId="3" borderId="30" applyNumberFormat="0" applyBorder="0" applyAlignment="0">
      <alignment vertical="top"/>
    </xf>
    <xf numFmtId="167" fontId="25" fillId="0" borderId="0" applyFont="0" applyFill="0" applyBorder="0" applyAlignment="0" applyProtection="0"/>
    <xf numFmtId="14" fontId="62" fillId="0" borderId="0">
      <alignment horizontal="center" wrapText="1"/>
      <protection locked="0"/>
    </xf>
    <xf numFmtId="9" fontId="245" fillId="0" borderId="0" applyFont="0" applyFill="0" applyBorder="0" applyAlignment="0" applyProtection="0"/>
    <xf numFmtId="230" fontId="25" fillId="0" borderId="0" applyFont="0" applyFill="0" applyBorder="0" applyAlignment="0" applyProtection="0"/>
    <xf numFmtId="301" fontId="25" fillId="0" borderId="0" applyFont="0" applyFill="0" applyBorder="0" applyAlignment="0" applyProtection="0"/>
    <xf numFmtId="10" fontId="25" fillId="0" borderId="0" applyFont="0" applyFill="0" applyBorder="0" applyAlignment="0" applyProtection="0"/>
    <xf numFmtId="9" fontId="25" fillId="0" borderId="0" applyFont="0" applyFill="0" applyBorder="0" applyAlignment="0" applyProtection="0"/>
    <xf numFmtId="9" fontId="24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25" fillId="0" borderId="0" applyFont="0" applyFill="0" applyBorder="0" applyAlignment="0" applyProtection="0"/>
    <xf numFmtId="9" fontId="32" fillId="0" borderId="31" applyNumberFormat="0" applyBorder="0"/>
    <xf numFmtId="0" fontId="25" fillId="0" borderId="0"/>
    <xf numFmtId="302" fontId="108" fillId="0" borderId="0">
      <protection locked="0"/>
    </xf>
    <xf numFmtId="0" fontId="25" fillId="0" borderId="0" applyFill="0" applyBorder="0" applyAlignment="0"/>
    <xf numFmtId="228" fontId="73" fillId="0" borderId="0" applyFill="0" applyBorder="0" applyAlignment="0"/>
    <xf numFmtId="231" fontId="73" fillId="0" borderId="0" applyFill="0" applyBorder="0" applyAlignment="0"/>
    <xf numFmtId="232" fontId="73" fillId="0" borderId="0" applyFill="0" applyBorder="0" applyAlignment="0"/>
    <xf numFmtId="228" fontId="73" fillId="0" borderId="0" applyFill="0" applyBorder="0" applyAlignment="0"/>
    <xf numFmtId="0" fontId="167" fillId="0" borderId="0"/>
    <xf numFmtId="0" fontId="32" fillId="0" borderId="0" applyNumberFormat="0" applyFont="0" applyFill="0" applyBorder="0" applyAlignment="0" applyProtection="0">
      <alignment horizontal="left"/>
    </xf>
    <xf numFmtId="0" fontId="168" fillId="0" borderId="23">
      <alignment horizontal="center"/>
    </xf>
    <xf numFmtId="1" fontId="25" fillId="0" borderId="14" applyNumberFormat="0" applyFill="0" applyAlignment="0" applyProtection="0">
      <alignment horizontal="center" vertical="center"/>
    </xf>
    <xf numFmtId="0" fontId="169" fillId="47" borderId="0" applyNumberFormat="0" applyFont="0" applyBorder="0" applyAlignment="0">
      <alignment horizontal="center"/>
    </xf>
    <xf numFmtId="14" fontId="170" fillId="0" borderId="0" applyNumberFormat="0" applyFill="0" applyBorder="0" applyAlignment="0" applyProtection="0">
      <alignment horizontal="left"/>
    </xf>
    <xf numFmtId="303" fontId="171" fillId="0" borderId="0" applyFont="0" applyFill="0" applyBorder="0" applyAlignment="0" applyProtection="0"/>
    <xf numFmtId="0" fontId="137" fillId="0" borderId="0" applyNumberFormat="0" applyFill="0" applyBorder="0" applyAlignment="0" applyProtection="0">
      <alignment vertical="top"/>
      <protection locked="0"/>
    </xf>
    <xf numFmtId="0" fontId="24" fillId="0" borderId="0"/>
    <xf numFmtId="0" fontId="172" fillId="0" borderId="0" applyNumberFormat="0" applyFill="0" applyBorder="0" applyAlignment="0" applyProtection="0"/>
    <xf numFmtId="167" fontId="37" fillId="0" borderId="0" applyFont="0" applyFill="0" applyBorder="0" applyAlignment="0" applyProtection="0"/>
    <xf numFmtId="192" fontId="32" fillId="0" borderId="0" applyFill="0" applyBorder="0" applyAlignment="0" applyProtection="0"/>
    <xf numFmtId="0" fontId="17" fillId="0" borderId="0" applyNumberFormat="0" applyFill="0" applyBorder="0" applyAlignment="0" applyProtection="0"/>
    <xf numFmtId="0" fontId="22" fillId="0" borderId="30" applyNumberFormat="0" applyBorder="0" applyAlignment="0">
      <alignment vertical="top"/>
    </xf>
    <xf numFmtId="4" fontId="173" fillId="48" borderId="32" applyNumberFormat="0" applyProtection="0">
      <alignment vertical="center"/>
    </xf>
    <xf numFmtId="4" fontId="174" fillId="48" borderId="32" applyNumberFormat="0" applyProtection="0">
      <alignment vertical="center"/>
    </xf>
    <xf numFmtId="4" fontId="160" fillId="48" borderId="32" applyNumberFormat="0" applyProtection="0">
      <alignment horizontal="left" vertical="center" indent="1"/>
    </xf>
    <xf numFmtId="4" fontId="160" fillId="49" borderId="0" applyNumberFormat="0" applyProtection="0">
      <alignment horizontal="left" vertical="center" indent="1"/>
    </xf>
    <xf numFmtId="4" fontId="160" fillId="46" borderId="32" applyNumberFormat="0" applyProtection="0">
      <alignment horizontal="right" vertical="center"/>
    </xf>
    <xf numFmtId="4" fontId="160" fillId="50" borderId="32" applyNumberFormat="0" applyProtection="0">
      <alignment horizontal="right" vertical="center"/>
    </xf>
    <xf numFmtId="4" fontId="160" fillId="51" borderId="32" applyNumberFormat="0" applyProtection="0">
      <alignment horizontal="right" vertical="center"/>
    </xf>
    <xf numFmtId="4" fontId="160" fillId="52" borderId="32" applyNumberFormat="0" applyProtection="0">
      <alignment horizontal="right" vertical="center"/>
    </xf>
    <xf numFmtId="4" fontId="160" fillId="53" borderId="32" applyNumberFormat="0" applyProtection="0">
      <alignment horizontal="right" vertical="center"/>
    </xf>
    <xf numFmtId="4" fontId="160" fillId="54" borderId="32" applyNumberFormat="0" applyProtection="0">
      <alignment horizontal="right" vertical="center"/>
    </xf>
    <xf numFmtId="4" fontId="160" fillId="55" borderId="32" applyNumberFormat="0" applyProtection="0">
      <alignment horizontal="right" vertical="center"/>
    </xf>
    <xf numFmtId="4" fontId="160" fillId="56" borderId="32" applyNumberFormat="0" applyProtection="0">
      <alignment horizontal="right" vertical="center"/>
    </xf>
    <xf numFmtId="4" fontId="160" fillId="57" borderId="32" applyNumberFormat="0" applyProtection="0">
      <alignment horizontal="right" vertical="center"/>
    </xf>
    <xf numFmtId="4" fontId="173" fillId="58" borderId="33" applyNumberFormat="0" applyProtection="0">
      <alignment horizontal="left" vertical="center" indent="1"/>
    </xf>
    <xf numFmtId="4" fontId="173" fillId="59" borderId="0" applyNumberFormat="0" applyProtection="0">
      <alignment horizontal="left" vertical="center" indent="1"/>
    </xf>
    <xf numFmtId="4" fontId="173" fillId="49" borderId="0" applyNumberFormat="0" applyProtection="0">
      <alignment horizontal="left" vertical="center" indent="1"/>
    </xf>
    <xf numFmtId="4" fontId="160" fillId="59" borderId="32" applyNumberFormat="0" applyProtection="0">
      <alignment horizontal="right" vertical="center"/>
    </xf>
    <xf numFmtId="4" fontId="38" fillId="59" borderId="0" applyNumberFormat="0" applyProtection="0">
      <alignment horizontal="left" vertical="center" indent="1"/>
    </xf>
    <xf numFmtId="4" fontId="38" fillId="49" borderId="0" applyNumberFormat="0" applyProtection="0">
      <alignment horizontal="left" vertical="center" indent="1"/>
    </xf>
    <xf numFmtId="4" fontId="160" fillId="38" borderId="32" applyNumberFormat="0" applyProtection="0">
      <alignment vertical="center"/>
    </xf>
    <xf numFmtId="4" fontId="175" fillId="38" borderId="32" applyNumberFormat="0" applyProtection="0">
      <alignment vertical="center"/>
    </xf>
    <xf numFmtId="4" fontId="173" fillId="59" borderId="34" applyNumberFormat="0" applyProtection="0">
      <alignment horizontal="left" vertical="center" indent="1"/>
    </xf>
    <xf numFmtId="4" fontId="160" fillId="38" borderId="32" applyNumberFormat="0" applyProtection="0">
      <alignment horizontal="right" vertical="center"/>
    </xf>
    <xf numFmtId="4" fontId="175" fillId="38" borderId="32" applyNumberFormat="0" applyProtection="0">
      <alignment horizontal="right" vertical="center"/>
    </xf>
    <xf numFmtId="4" fontId="173" fillId="59" borderId="32" applyNumberFormat="0" applyProtection="0">
      <alignment horizontal="left" vertical="center" indent="1"/>
    </xf>
    <xf numFmtId="4" fontId="176" fillId="40" borderId="34" applyNumberFormat="0" applyProtection="0">
      <alignment horizontal="left" vertical="center" indent="1"/>
    </xf>
    <xf numFmtId="4" fontId="177" fillId="38" borderId="32" applyNumberFormat="0" applyProtection="0">
      <alignment horizontal="right" vertical="center"/>
    </xf>
    <xf numFmtId="304" fontId="178" fillId="0" borderId="0" applyFont="0" applyFill="0" applyBorder="0" applyAlignment="0" applyProtection="0"/>
    <xf numFmtId="0" fontId="169" fillId="1" borderId="22" applyNumberFormat="0" applyFont="0" applyAlignment="0">
      <alignment horizontal="center"/>
    </xf>
    <xf numFmtId="0" fontId="179" fillId="0" borderId="0" applyNumberFormat="0" applyFill="0" applyBorder="0" applyAlignment="0" applyProtection="0"/>
    <xf numFmtId="0" fontId="180" fillId="0" borderId="0" applyNumberFormat="0" applyFill="0" applyBorder="0" applyAlignment="0" applyProtection="0">
      <alignment vertical="top"/>
      <protection locked="0"/>
    </xf>
    <xf numFmtId="4" fontId="16" fillId="0" borderId="14" applyBorder="0"/>
    <xf numFmtId="2" fontId="16" fillId="0" borderId="14"/>
    <xf numFmtId="4" fontId="16" fillId="0" borderId="14" applyBorder="0"/>
    <xf numFmtId="3" fontId="16" fillId="0" borderId="0"/>
    <xf numFmtId="0" fontId="181" fillId="0" borderId="0" applyNumberFormat="0" applyFill="0" applyBorder="0" applyAlignment="0">
      <alignment horizontal="center"/>
    </xf>
    <xf numFmtId="0" fontId="182" fillId="60" borderId="35" applyNumberFormat="0" applyFont="0" applyFill="0" applyBorder="0" applyAlignment="0" applyProtection="0">
      <alignment horizontal="left" vertical="center" wrapText="1"/>
    </xf>
    <xf numFmtId="0" fontId="25" fillId="0" borderId="0"/>
    <xf numFmtId="0" fontId="22" fillId="0" borderId="30" applyNumberFormat="0" applyAlignment="0"/>
    <xf numFmtId="0" fontId="22" fillId="3" borderId="30" applyNumberFormat="0"/>
    <xf numFmtId="1" fontId="25" fillId="0" borderId="0"/>
    <xf numFmtId="175" fontId="183" fillId="0" borderId="0" applyNumberFormat="0" applyBorder="0" applyAlignment="0">
      <alignment horizontal="centerContinuous"/>
    </xf>
    <xf numFmtId="0" fontId="38" fillId="0" borderId="0">
      <alignment vertical="top"/>
    </xf>
    <xf numFmtId="0" fontId="26" fillId="0" borderId="0"/>
    <xf numFmtId="0" fontId="24" fillId="0" borderId="0" applyNumberFormat="0" applyFill="0" applyBorder="0" applyAlignment="0" applyProtection="0"/>
    <xf numFmtId="305" fontId="37" fillId="0" borderId="0" applyFont="0" applyFill="0" applyBorder="0" applyAlignment="0" applyProtection="0"/>
    <xf numFmtId="175" fontId="18" fillId="0" borderId="0" applyFont="0" applyFill="0" applyBorder="0" applyAlignment="0" applyProtection="0"/>
    <xf numFmtId="170" fontId="17" fillId="0" borderId="0" applyFont="0" applyFill="0" applyBorder="0" applyAlignment="0" applyProtection="0"/>
    <xf numFmtId="170" fontId="17" fillId="0" borderId="0" applyFont="0" applyFill="0" applyBorder="0" applyAlignment="0" applyProtection="0"/>
    <xf numFmtId="170" fontId="17"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67"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196" fontId="37" fillId="0" borderId="0" applyFont="0" applyFill="0" applyBorder="0" applyAlignment="0" applyProtection="0"/>
    <xf numFmtId="167"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6" fontId="37" fillId="0" borderId="0" applyFont="0" applyFill="0" applyBorder="0" applyAlignment="0" applyProtection="0"/>
    <xf numFmtId="210" fontId="37" fillId="0" borderId="0" applyFont="0" applyFill="0" applyBorder="0" applyAlignment="0" applyProtection="0"/>
    <xf numFmtId="209" fontId="16" fillId="0" borderId="0" applyFont="0" applyFill="0" applyBorder="0" applyAlignment="0" applyProtection="0"/>
    <xf numFmtId="209" fontId="37" fillId="0" borderId="0" applyFont="0" applyFill="0" applyBorder="0" applyAlignment="0" applyProtection="0"/>
    <xf numFmtId="0" fontId="24" fillId="0" borderId="0"/>
    <xf numFmtId="306" fontId="68" fillId="0" borderId="0" applyFont="0" applyFill="0" applyBorder="0" applyAlignment="0" applyProtection="0"/>
    <xf numFmtId="41" fontId="37" fillId="0" borderId="0" applyFont="0" applyFill="0" applyBorder="0" applyAlignment="0" applyProtection="0"/>
    <xf numFmtId="167" fontId="37" fillId="0" borderId="0" applyFont="0" applyFill="0" applyBorder="0" applyAlignment="0" applyProtection="0"/>
    <xf numFmtId="170" fontId="37" fillId="0" borderId="0" applyFont="0" applyFill="0" applyBorder="0" applyAlignment="0" applyProtection="0"/>
    <xf numFmtId="167" fontId="37" fillId="0" borderId="0" applyFont="0" applyFill="0" applyBorder="0" applyAlignment="0" applyProtection="0"/>
    <xf numFmtId="214" fontId="37" fillId="0" borderId="0" applyFont="0" applyFill="0" applyBorder="0" applyAlignment="0" applyProtection="0"/>
    <xf numFmtId="216" fontId="37" fillId="0" borderId="0" applyFont="0" applyFill="0" applyBorder="0" applyAlignment="0" applyProtection="0"/>
    <xf numFmtId="196"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75" fontId="18" fillId="0" borderId="0" applyFont="0" applyFill="0" applyBorder="0" applyAlignment="0" applyProtection="0"/>
    <xf numFmtId="170" fontId="17" fillId="0" borderId="0" applyFont="0" applyFill="0" applyBorder="0" applyAlignment="0" applyProtection="0"/>
    <xf numFmtId="41" fontId="37" fillId="0" borderId="0" applyFont="0" applyFill="0" applyBorder="0" applyAlignment="0" applyProtection="0"/>
    <xf numFmtId="170" fontId="17" fillId="0" borderId="0" applyFont="0" applyFill="0" applyBorder="0" applyAlignment="0" applyProtection="0"/>
    <xf numFmtId="170" fontId="17"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213" fontId="37" fillId="0" borderId="0" applyFont="0" applyFill="0" applyBorder="0" applyAlignment="0" applyProtection="0"/>
    <xf numFmtId="170"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213" fontId="37" fillId="0" borderId="0" applyFont="0" applyFill="0" applyBorder="0" applyAlignment="0" applyProtection="0"/>
    <xf numFmtId="167" fontId="37" fillId="0" borderId="0" applyFont="0" applyFill="0" applyBorder="0" applyAlignment="0" applyProtection="0"/>
    <xf numFmtId="196"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67" fontId="37" fillId="0" borderId="0" applyFont="0" applyFill="0" applyBorder="0" applyAlignment="0" applyProtection="0"/>
    <xf numFmtId="196" fontId="37" fillId="0" borderId="0" applyFont="0" applyFill="0" applyBorder="0" applyAlignment="0" applyProtection="0"/>
    <xf numFmtId="170" fontId="37" fillId="0" borderId="0" applyFont="0" applyFill="0" applyBorder="0" applyAlignment="0" applyProtection="0"/>
    <xf numFmtId="167"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170" fontId="37" fillId="0" borderId="0" applyFont="0" applyFill="0" applyBorder="0" applyAlignment="0" applyProtection="0"/>
    <xf numFmtId="41" fontId="37" fillId="0" borderId="0" applyFont="0" applyFill="0" applyBorder="0" applyAlignment="0" applyProtection="0"/>
    <xf numFmtId="41" fontId="37" fillId="0" borderId="0" applyFont="0" applyFill="0" applyBorder="0" applyAlignment="0" applyProtection="0"/>
    <xf numFmtId="196" fontId="37" fillId="0" borderId="0" applyFont="0" applyFill="0" applyBorder="0" applyAlignment="0" applyProtection="0"/>
    <xf numFmtId="170" fontId="37" fillId="0" borderId="0" applyFont="0" applyFill="0" applyBorder="0" applyAlignment="0" applyProtection="0"/>
    <xf numFmtId="170" fontId="37" fillId="0" borderId="0" applyFont="0" applyFill="0" applyBorder="0" applyAlignment="0" applyProtection="0"/>
    <xf numFmtId="196" fontId="37" fillId="0" borderId="0" applyFont="0" applyFill="0" applyBorder="0" applyAlignment="0" applyProtection="0"/>
    <xf numFmtId="196" fontId="37" fillId="0" borderId="0" applyFont="0" applyFill="0" applyBorder="0" applyAlignment="0" applyProtection="0"/>
    <xf numFmtId="196" fontId="37" fillId="0" borderId="0" applyFont="0" applyFill="0" applyBorder="0" applyAlignment="0" applyProtection="0"/>
    <xf numFmtId="41" fontId="37" fillId="0" borderId="0" applyFont="0" applyFill="0" applyBorder="0" applyAlignment="0" applyProtection="0"/>
    <xf numFmtId="167" fontId="37" fillId="0" borderId="0" applyFont="0" applyFill="0" applyBorder="0" applyAlignment="0" applyProtection="0"/>
    <xf numFmtId="170" fontId="37" fillId="0" borderId="0" applyFont="0" applyFill="0" applyBorder="0" applyAlignment="0" applyProtection="0"/>
    <xf numFmtId="41" fontId="37" fillId="0" borderId="0" applyFont="0" applyFill="0" applyBorder="0" applyAlignment="0" applyProtection="0"/>
    <xf numFmtId="196" fontId="37" fillId="0" borderId="0" applyFont="0" applyFill="0" applyBorder="0" applyAlignment="0" applyProtection="0"/>
    <xf numFmtId="167" fontId="37" fillId="0" borderId="0" applyFont="0" applyFill="0" applyBorder="0" applyAlignment="0" applyProtection="0"/>
    <xf numFmtId="196" fontId="37" fillId="0" borderId="0" applyFont="0" applyFill="0" applyBorder="0" applyAlignment="0" applyProtection="0"/>
    <xf numFmtId="167" fontId="37" fillId="0" borderId="0" applyFont="0" applyFill="0" applyBorder="0" applyAlignment="0" applyProtection="0"/>
    <xf numFmtId="170" fontId="37" fillId="0" borderId="0" applyFont="0" applyFill="0" applyBorder="0" applyAlignment="0" applyProtection="0"/>
    <xf numFmtId="167" fontId="37" fillId="0" borderId="0" applyFont="0" applyFill="0" applyBorder="0" applyAlignment="0" applyProtection="0"/>
    <xf numFmtId="214" fontId="37" fillId="0" borderId="0" applyFont="0" applyFill="0" applyBorder="0" applyAlignment="0" applyProtection="0"/>
    <xf numFmtId="216" fontId="37" fillId="0" borderId="0" applyFont="0" applyFill="0" applyBorder="0" applyAlignment="0" applyProtection="0"/>
    <xf numFmtId="196"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97" fontId="37" fillId="0" borderId="0" applyFont="0" applyFill="0" applyBorder="0" applyAlignment="0" applyProtection="0"/>
    <xf numFmtId="197"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166" fontId="37" fillId="0" borderId="0" applyFont="0" applyFill="0" applyBorder="0" applyAlignment="0" applyProtection="0"/>
    <xf numFmtId="209" fontId="37" fillId="0" borderId="0" applyFont="0" applyFill="0" applyBorder="0" applyAlignment="0" applyProtection="0"/>
    <xf numFmtId="210" fontId="37" fillId="0" borderId="0" applyFont="0" applyFill="0" applyBorder="0" applyAlignment="0" applyProtection="0"/>
    <xf numFmtId="210" fontId="37" fillId="0" borderId="0" applyFont="0" applyFill="0" applyBorder="0" applyAlignment="0" applyProtection="0"/>
    <xf numFmtId="209" fontId="16" fillId="0" borderId="0" applyFont="0" applyFill="0" applyBorder="0" applyAlignment="0" applyProtection="0"/>
    <xf numFmtId="167" fontId="37" fillId="0" borderId="0" applyFont="0" applyFill="0" applyBorder="0" applyAlignment="0" applyProtection="0"/>
    <xf numFmtId="210" fontId="37" fillId="0" borderId="0" applyFont="0" applyFill="0" applyBorder="0" applyAlignment="0" applyProtection="0"/>
    <xf numFmtId="209" fontId="37" fillId="0" borderId="0" applyFont="0" applyFill="0" applyBorder="0" applyAlignment="0" applyProtection="0"/>
    <xf numFmtId="211" fontId="37" fillId="0" borderId="0" applyFont="0" applyFill="0" applyBorder="0" applyAlignment="0" applyProtection="0"/>
    <xf numFmtId="166" fontId="37" fillId="0" borderId="0" applyFont="0" applyFill="0" applyBorder="0" applyAlignment="0" applyProtection="0"/>
    <xf numFmtId="0" fontId="24" fillId="0" borderId="0"/>
    <xf numFmtId="306" fontId="68" fillId="0" borderId="0" applyFont="0" applyFill="0" applyBorder="0" applyAlignment="0" applyProtection="0"/>
    <xf numFmtId="14" fontId="184" fillId="0" borderId="0"/>
    <xf numFmtId="0" fontId="185" fillId="0" borderId="0"/>
    <xf numFmtId="0" fontId="145" fillId="0" borderId="0"/>
    <xf numFmtId="40" fontId="186" fillId="0" borderId="0" applyBorder="0">
      <alignment horizontal="right"/>
    </xf>
    <xf numFmtId="0" fontId="187" fillId="0" borderId="0"/>
    <xf numFmtId="307" fontId="37" fillId="0" borderId="24">
      <alignment horizontal="right" vertical="center"/>
    </xf>
    <xf numFmtId="308" fontId="68" fillId="0" borderId="24">
      <alignment horizontal="right" vertical="center"/>
    </xf>
    <xf numFmtId="309" fontId="68" fillId="0" borderId="36">
      <alignment horizontal="right" vertical="center"/>
    </xf>
    <xf numFmtId="288" fontId="18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288" fontId="188" fillId="0" borderId="24">
      <alignment horizontal="right" vertical="center"/>
    </xf>
    <xf numFmtId="308" fontId="68" fillId="0" borderId="24">
      <alignment horizontal="right" vertical="center"/>
    </xf>
    <xf numFmtId="308" fontId="68" fillId="0" borderId="24">
      <alignment horizontal="right" vertical="center"/>
    </xf>
    <xf numFmtId="307" fontId="37" fillId="0" borderId="24">
      <alignment horizontal="right" vertical="center"/>
    </xf>
    <xf numFmtId="308" fontId="68" fillId="0" borderId="24">
      <alignment horizontal="right" vertical="center"/>
    </xf>
    <xf numFmtId="308" fontId="68" fillId="0" borderId="24">
      <alignment horizontal="right" vertical="center"/>
    </xf>
    <xf numFmtId="308" fontId="68" fillId="0" borderId="24">
      <alignment horizontal="right" vertical="center"/>
    </xf>
    <xf numFmtId="308" fontId="68" fillId="0" borderId="24">
      <alignment horizontal="right" vertical="center"/>
    </xf>
    <xf numFmtId="311" fontId="28" fillId="0" borderId="24">
      <alignment horizontal="right" vertical="center"/>
    </xf>
    <xf numFmtId="308" fontId="6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08" fontId="68" fillId="0" borderId="24">
      <alignment horizontal="right" vertical="center"/>
    </xf>
    <xf numFmtId="312" fontId="25" fillId="0" borderId="24">
      <alignment horizontal="right" vertical="center"/>
    </xf>
    <xf numFmtId="307" fontId="37"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3" fontId="17" fillId="0" borderId="24">
      <alignment horizontal="right" vertical="center"/>
    </xf>
    <xf numFmtId="313" fontId="17" fillId="0" borderId="24">
      <alignment horizontal="right" vertical="center"/>
    </xf>
    <xf numFmtId="307" fontId="37" fillId="0" borderId="24">
      <alignment horizontal="right" vertical="center"/>
    </xf>
    <xf numFmtId="312" fontId="25" fillId="0" borderId="24">
      <alignment horizontal="right" vertical="center"/>
    </xf>
    <xf numFmtId="312" fontId="25" fillId="0" borderId="24">
      <alignment horizontal="right" vertical="center"/>
    </xf>
    <xf numFmtId="312" fontId="25" fillId="0" borderId="24">
      <alignment horizontal="right" vertical="center"/>
    </xf>
    <xf numFmtId="312" fontId="25" fillId="0" borderId="24">
      <alignment horizontal="right" vertical="center"/>
    </xf>
    <xf numFmtId="313" fontId="17" fillId="0" borderId="24">
      <alignment horizontal="right" vertical="center"/>
    </xf>
    <xf numFmtId="313" fontId="17" fillId="0" borderId="24">
      <alignment horizontal="right" vertical="center"/>
    </xf>
    <xf numFmtId="174" fontId="16" fillId="0" borderId="24">
      <alignment horizontal="right" vertical="center"/>
    </xf>
    <xf numFmtId="308" fontId="68" fillId="0" borderId="24">
      <alignment horizontal="right" vertical="center"/>
    </xf>
    <xf numFmtId="307" fontId="37" fillId="0" borderId="24">
      <alignment horizontal="right" vertical="center"/>
    </xf>
    <xf numFmtId="307" fontId="37" fillId="0" borderId="24">
      <alignment horizontal="right" vertical="center"/>
    </xf>
    <xf numFmtId="307" fontId="37" fillId="0" borderId="24">
      <alignment horizontal="right" vertical="center"/>
    </xf>
    <xf numFmtId="307" fontId="37" fillId="0" borderId="24">
      <alignment horizontal="right" vertical="center"/>
    </xf>
    <xf numFmtId="307" fontId="37" fillId="0" borderId="24">
      <alignment horizontal="right" vertical="center"/>
    </xf>
    <xf numFmtId="307" fontId="37" fillId="0" borderId="24">
      <alignment horizontal="right" vertical="center"/>
    </xf>
    <xf numFmtId="314" fontId="25" fillId="0" borderId="24">
      <alignment horizontal="right" vertical="center"/>
    </xf>
    <xf numFmtId="314" fontId="25" fillId="0" borderId="24">
      <alignment horizontal="right" vertical="center"/>
    </xf>
    <xf numFmtId="308" fontId="68" fillId="0" borderId="24">
      <alignment horizontal="right" vertical="center"/>
    </xf>
    <xf numFmtId="308" fontId="68" fillId="0" borderId="24">
      <alignment horizontal="right" vertical="center"/>
    </xf>
    <xf numFmtId="308" fontId="68" fillId="0" borderId="24">
      <alignment horizontal="right" vertical="center"/>
    </xf>
    <xf numFmtId="308" fontId="68" fillId="0" borderId="24">
      <alignment horizontal="right" vertical="center"/>
    </xf>
    <xf numFmtId="308" fontId="68" fillId="0" borderId="24">
      <alignment horizontal="right" vertical="center"/>
    </xf>
    <xf numFmtId="308" fontId="68" fillId="0" borderId="24">
      <alignment horizontal="right" vertical="center"/>
    </xf>
    <xf numFmtId="308" fontId="68" fillId="0" borderId="24">
      <alignment horizontal="right" vertical="center"/>
    </xf>
    <xf numFmtId="308" fontId="68" fillId="0" borderId="24">
      <alignment horizontal="right" vertical="center"/>
    </xf>
    <xf numFmtId="315" fontId="18" fillId="0" borderId="24">
      <alignment horizontal="right" vertical="center"/>
    </xf>
    <xf numFmtId="307" fontId="37" fillId="0" borderId="24">
      <alignment horizontal="right" vertical="center"/>
    </xf>
    <xf numFmtId="308" fontId="68" fillId="0" borderId="24">
      <alignment horizontal="right" vertical="center"/>
    </xf>
    <xf numFmtId="307" fontId="37" fillId="0" borderId="24">
      <alignment horizontal="right" vertical="center"/>
    </xf>
    <xf numFmtId="314" fontId="25" fillId="0" borderId="24">
      <alignment horizontal="right" vertical="center"/>
    </xf>
    <xf numFmtId="314" fontId="25" fillId="0" borderId="24">
      <alignment horizontal="right" vertical="center"/>
    </xf>
    <xf numFmtId="314" fontId="25" fillId="0" borderId="24">
      <alignment horizontal="right" vertical="center"/>
    </xf>
    <xf numFmtId="314" fontId="25" fillId="0" borderId="24">
      <alignment horizontal="right" vertical="center"/>
    </xf>
    <xf numFmtId="307" fontId="37" fillId="0" borderId="24">
      <alignment horizontal="right" vertical="center"/>
    </xf>
    <xf numFmtId="307" fontId="37" fillId="0" borderId="24">
      <alignment horizontal="right" vertical="center"/>
    </xf>
    <xf numFmtId="308" fontId="68" fillId="0" borderId="24">
      <alignment horizontal="right" vertical="center"/>
    </xf>
    <xf numFmtId="308" fontId="68" fillId="0" borderId="24">
      <alignment horizontal="right" vertical="center"/>
    </xf>
    <xf numFmtId="308" fontId="68" fillId="0" borderId="24">
      <alignment horizontal="right" vertical="center"/>
    </xf>
    <xf numFmtId="308" fontId="68" fillId="0" borderId="24">
      <alignment horizontal="right" vertical="center"/>
    </xf>
    <xf numFmtId="315" fontId="18" fillId="0" borderId="24">
      <alignment horizontal="right" vertical="center"/>
    </xf>
    <xf numFmtId="316" fontId="189" fillId="3" borderId="37" applyFont="0" applyFill="0" applyBorder="0"/>
    <xf numFmtId="308" fontId="68" fillId="0" borderId="24">
      <alignment horizontal="right" vertical="center"/>
    </xf>
    <xf numFmtId="308" fontId="68" fillId="0" borderId="24">
      <alignment horizontal="right" vertical="center"/>
    </xf>
    <xf numFmtId="308" fontId="68" fillId="0" borderId="24">
      <alignment horizontal="right" vertical="center"/>
    </xf>
    <xf numFmtId="308" fontId="68" fillId="0" borderId="24">
      <alignment horizontal="right" vertical="center"/>
    </xf>
    <xf numFmtId="308" fontId="68" fillId="0" borderId="24">
      <alignment horizontal="right" vertical="center"/>
    </xf>
    <xf numFmtId="308" fontId="68" fillId="0" borderId="24">
      <alignment horizontal="right" vertical="center"/>
    </xf>
    <xf numFmtId="308" fontId="68" fillId="0" borderId="24">
      <alignment horizontal="right" vertical="center"/>
    </xf>
    <xf numFmtId="308" fontId="68" fillId="0" borderId="24">
      <alignment horizontal="right" vertical="center"/>
    </xf>
    <xf numFmtId="316" fontId="189" fillId="3" borderId="37" applyFont="0" applyFill="0" applyBorder="0"/>
    <xf numFmtId="314" fontId="25" fillId="0" borderId="24">
      <alignment horizontal="right" vertical="center"/>
    </xf>
    <xf numFmtId="314" fontId="25" fillId="0" borderId="24">
      <alignment horizontal="right" vertical="center"/>
    </xf>
    <xf numFmtId="314" fontId="25" fillId="0" borderId="24">
      <alignment horizontal="right" vertical="center"/>
    </xf>
    <xf numFmtId="314" fontId="25" fillId="0" borderId="24">
      <alignment horizontal="right" vertical="center"/>
    </xf>
    <xf numFmtId="313" fontId="17" fillId="0" borderId="24">
      <alignment horizontal="right" vertical="center"/>
    </xf>
    <xf numFmtId="313" fontId="17" fillId="0" borderId="24">
      <alignment horizontal="right" vertical="center"/>
    </xf>
    <xf numFmtId="314" fontId="25" fillId="0" borderId="24">
      <alignment horizontal="right" vertical="center"/>
    </xf>
    <xf numFmtId="314" fontId="25" fillId="0" borderId="24">
      <alignment horizontal="right" vertical="center"/>
    </xf>
    <xf numFmtId="314" fontId="25" fillId="0" borderId="24">
      <alignment horizontal="right" vertical="center"/>
    </xf>
    <xf numFmtId="314" fontId="25" fillId="0" borderId="24">
      <alignment horizontal="right" vertical="center"/>
    </xf>
    <xf numFmtId="314" fontId="25" fillId="0" borderId="24">
      <alignment horizontal="right" vertical="center"/>
    </xf>
    <xf numFmtId="314" fontId="25" fillId="0" borderId="24">
      <alignment horizontal="right" vertical="center"/>
    </xf>
    <xf numFmtId="314" fontId="25" fillId="0" borderId="24">
      <alignment horizontal="right" vertical="center"/>
    </xf>
    <xf numFmtId="314" fontId="25" fillId="0" borderId="24">
      <alignment horizontal="right" vertical="center"/>
    </xf>
    <xf numFmtId="314" fontId="25" fillId="0" borderId="24">
      <alignment horizontal="right" vertical="center"/>
    </xf>
    <xf numFmtId="314" fontId="25" fillId="0" borderId="24">
      <alignment horizontal="right" vertical="center"/>
    </xf>
    <xf numFmtId="314" fontId="25" fillId="0" borderId="24">
      <alignment horizontal="right" vertical="center"/>
    </xf>
    <xf numFmtId="314" fontId="25" fillId="0" borderId="24">
      <alignment horizontal="right" vertical="center"/>
    </xf>
    <xf numFmtId="307" fontId="37" fillId="0" borderId="24">
      <alignment horizontal="right" vertical="center"/>
    </xf>
    <xf numFmtId="307" fontId="37" fillId="0" borderId="24">
      <alignment horizontal="right" vertical="center"/>
    </xf>
    <xf numFmtId="312" fontId="25" fillId="0" borderId="24">
      <alignment horizontal="right" vertical="center"/>
    </xf>
    <xf numFmtId="314" fontId="25" fillId="0" borderId="24">
      <alignment horizontal="right" vertical="center"/>
    </xf>
    <xf numFmtId="314" fontId="25" fillId="0" borderId="24">
      <alignment horizontal="right" vertical="center"/>
    </xf>
    <xf numFmtId="314" fontId="25" fillId="0" borderId="24">
      <alignment horizontal="right" vertical="center"/>
    </xf>
    <xf numFmtId="314" fontId="25" fillId="0" borderId="24">
      <alignment horizontal="right" vertical="center"/>
    </xf>
    <xf numFmtId="313" fontId="17" fillId="0" borderId="24">
      <alignment horizontal="right" vertical="center"/>
    </xf>
    <xf numFmtId="313" fontId="17"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193" fontId="17" fillId="0" borderId="24">
      <alignment horizontal="right" vertical="center"/>
    </xf>
    <xf numFmtId="193" fontId="17"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08" fontId="68" fillId="0" borderId="24">
      <alignment horizontal="right" vertical="center"/>
    </xf>
    <xf numFmtId="308" fontId="68" fillId="0" borderId="24">
      <alignment horizontal="right" vertical="center"/>
    </xf>
    <xf numFmtId="308" fontId="68" fillId="0" borderId="24">
      <alignment horizontal="right" vertical="center"/>
    </xf>
    <xf numFmtId="308" fontId="68" fillId="0" borderId="24">
      <alignment horizontal="right" vertical="center"/>
    </xf>
    <xf numFmtId="308" fontId="68" fillId="0" borderId="24">
      <alignment horizontal="right" vertical="center"/>
    </xf>
    <xf numFmtId="308" fontId="68" fillId="0" borderId="24">
      <alignment horizontal="right" vertical="center"/>
    </xf>
    <xf numFmtId="308" fontId="68" fillId="0" borderId="24">
      <alignment horizontal="right" vertical="center"/>
    </xf>
    <xf numFmtId="308" fontId="68" fillId="0" borderId="24">
      <alignment horizontal="right" vertical="center"/>
    </xf>
    <xf numFmtId="308" fontId="68" fillId="0" borderId="24">
      <alignment horizontal="right" vertical="center"/>
    </xf>
    <xf numFmtId="308" fontId="68" fillId="0" borderId="24">
      <alignment horizontal="right" vertical="center"/>
    </xf>
    <xf numFmtId="308" fontId="68" fillId="0" borderId="24">
      <alignment horizontal="right" vertical="center"/>
    </xf>
    <xf numFmtId="308" fontId="68" fillId="0" borderId="24">
      <alignment horizontal="right" vertical="center"/>
    </xf>
    <xf numFmtId="308" fontId="68" fillId="0" borderId="24">
      <alignment horizontal="right" vertical="center"/>
    </xf>
    <xf numFmtId="308" fontId="68" fillId="0" borderId="24">
      <alignment horizontal="right" vertical="center"/>
    </xf>
    <xf numFmtId="308" fontId="68" fillId="0" borderId="24">
      <alignment horizontal="right" vertical="center"/>
    </xf>
    <xf numFmtId="308" fontId="68" fillId="0" borderId="24">
      <alignment horizontal="right" vertical="center"/>
    </xf>
    <xf numFmtId="308" fontId="68" fillId="0" borderId="24">
      <alignment horizontal="right" vertical="center"/>
    </xf>
    <xf numFmtId="308" fontId="68" fillId="0" borderId="24">
      <alignment horizontal="right" vertical="center"/>
    </xf>
    <xf numFmtId="308" fontId="68" fillId="0" borderId="24">
      <alignment horizontal="right" vertical="center"/>
    </xf>
    <xf numFmtId="308" fontId="68" fillId="0" borderId="24">
      <alignment horizontal="right" vertical="center"/>
    </xf>
    <xf numFmtId="308" fontId="68" fillId="0" borderId="24">
      <alignment horizontal="right" vertical="center"/>
    </xf>
    <xf numFmtId="308" fontId="68" fillId="0" borderId="24">
      <alignment horizontal="right" vertical="center"/>
    </xf>
    <xf numFmtId="308" fontId="68" fillId="0" borderId="24">
      <alignment horizontal="right" vertical="center"/>
    </xf>
    <xf numFmtId="308" fontId="68" fillId="0" borderId="24">
      <alignment horizontal="right" vertical="center"/>
    </xf>
    <xf numFmtId="308" fontId="68" fillId="0" borderId="24">
      <alignment horizontal="right" vertical="center"/>
    </xf>
    <xf numFmtId="308" fontId="68" fillId="0" borderId="24">
      <alignment horizontal="right" vertical="center"/>
    </xf>
    <xf numFmtId="317" fontId="190" fillId="0" borderId="24">
      <alignment horizontal="right" vertical="center"/>
    </xf>
    <xf numFmtId="308" fontId="68" fillId="0" borderId="24">
      <alignment horizontal="right" vertical="center"/>
    </xf>
    <xf numFmtId="318" fontId="17" fillId="0" borderId="24">
      <alignment horizontal="right" vertical="center"/>
    </xf>
    <xf numFmtId="318" fontId="17"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08" fontId="68" fillId="0" borderId="24">
      <alignment horizontal="right" vertical="center"/>
    </xf>
    <xf numFmtId="308" fontId="68" fillId="0" borderId="24">
      <alignment horizontal="right" vertical="center"/>
    </xf>
    <xf numFmtId="308" fontId="68" fillId="0" borderId="24">
      <alignment horizontal="right" vertical="center"/>
    </xf>
    <xf numFmtId="308" fontId="68" fillId="0" borderId="24">
      <alignment horizontal="right" vertical="center"/>
    </xf>
    <xf numFmtId="308" fontId="6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0" fontId="28" fillId="0" borderId="24">
      <alignment horizontal="right" vertical="center"/>
    </xf>
    <xf numFmtId="316" fontId="189" fillId="3" borderId="37" applyFont="0" applyFill="0" applyBorder="0"/>
    <xf numFmtId="294" fontId="17" fillId="0" borderId="24">
      <alignment horizontal="right" vertical="center"/>
    </xf>
    <xf numFmtId="294" fontId="17" fillId="0" borderId="24">
      <alignment horizontal="right" vertical="center"/>
    </xf>
    <xf numFmtId="294" fontId="17" fillId="0" borderId="24">
      <alignment horizontal="right" vertical="center"/>
    </xf>
    <xf numFmtId="294" fontId="17" fillId="0" borderId="24">
      <alignment horizontal="right" vertical="center"/>
    </xf>
    <xf numFmtId="288" fontId="188" fillId="0" borderId="24">
      <alignment horizontal="right" vertical="center"/>
    </xf>
    <xf numFmtId="288" fontId="188" fillId="0" borderId="24">
      <alignment horizontal="right" vertical="center"/>
    </xf>
    <xf numFmtId="308" fontId="68" fillId="0" borderId="24">
      <alignment horizontal="right" vertical="center"/>
    </xf>
    <xf numFmtId="308" fontId="68" fillId="0" borderId="24">
      <alignment horizontal="right" vertical="center"/>
    </xf>
    <xf numFmtId="193" fontId="17" fillId="0" borderId="24">
      <alignment horizontal="right" vertical="center"/>
    </xf>
    <xf numFmtId="193" fontId="17" fillId="0" borderId="24">
      <alignment horizontal="right" vertical="center"/>
    </xf>
    <xf numFmtId="317" fontId="190" fillId="0" borderId="24">
      <alignment horizontal="right" vertical="center"/>
    </xf>
    <xf numFmtId="316" fontId="189" fillId="3" borderId="37" applyFont="0" applyFill="0" applyBorder="0"/>
    <xf numFmtId="171" fontId="190" fillId="3" borderId="37" applyFont="0" applyFill="0" applyBorder="0"/>
    <xf numFmtId="308" fontId="68" fillId="0" borderId="24">
      <alignment horizontal="right" vertical="center"/>
    </xf>
    <xf numFmtId="308" fontId="68" fillId="0" borderId="24">
      <alignment horizontal="right" vertical="center"/>
    </xf>
    <xf numFmtId="319" fontId="191" fillId="0" borderId="24">
      <alignment horizontal="right" vertical="center"/>
    </xf>
    <xf numFmtId="319" fontId="191" fillId="0" borderId="24">
      <alignment horizontal="right" vertical="center"/>
    </xf>
    <xf numFmtId="319" fontId="191" fillId="0" borderId="24">
      <alignment horizontal="right" vertical="center"/>
    </xf>
    <xf numFmtId="233" fontId="88" fillId="0" borderId="2">
      <protection hidden="1"/>
    </xf>
    <xf numFmtId="49" fontId="38" fillId="0" borderId="0" applyFill="0" applyBorder="0" applyAlignment="0"/>
    <xf numFmtId="0" fontId="25" fillId="0" borderId="0" applyFill="0" applyBorder="0" applyAlignment="0"/>
    <xf numFmtId="318" fontId="25" fillId="0" borderId="0" applyFill="0" applyBorder="0" applyAlignment="0"/>
    <xf numFmtId="321" fontId="203" fillId="0" borderId="24">
      <alignment horizontal="center"/>
    </xf>
    <xf numFmtId="209" fontId="68" fillId="0" borderId="24">
      <alignment horizontal="center"/>
    </xf>
    <xf numFmtId="322" fontId="204" fillId="0" borderId="0" applyNumberFormat="0" applyFont="0" applyFill="0" applyBorder="0" applyAlignment="0">
      <alignment horizontal="centerContinuous"/>
    </xf>
    <xf numFmtId="0" fontId="29" fillId="0" borderId="0">
      <alignment vertical="center" wrapText="1"/>
      <protection locked="0"/>
    </xf>
    <xf numFmtId="0" fontId="205" fillId="0" borderId="38"/>
    <xf numFmtId="0" fontId="68" fillId="0" borderId="0" applyNumberFormat="0" applyFill="0" applyBorder="0" applyAlignment="0" applyProtection="0"/>
    <xf numFmtId="0" fontId="155" fillId="0" borderId="0" applyNumberFormat="0" applyFill="0" applyBorder="0" applyAlignment="0" applyProtection="0"/>
    <xf numFmtId="0" fontId="155" fillId="0" borderId="0" applyNumberFormat="0" applyFill="0" applyBorder="0" applyAlignment="0" applyProtection="0"/>
    <xf numFmtId="0" fontId="165" fillId="0" borderId="0" applyNumberFormat="0" applyFill="0" applyBorder="0" applyAlignment="0" applyProtection="0"/>
    <xf numFmtId="0" fontId="18" fillId="0" borderId="8" applyNumberFormat="0" applyBorder="0" applyAlignment="0"/>
    <xf numFmtId="0" fontId="206" fillId="0" borderId="29" applyNumberFormat="0" applyBorder="0" applyAlignment="0">
      <alignment horizontal="center"/>
    </xf>
    <xf numFmtId="3" fontId="207" fillId="0" borderId="20" applyNumberFormat="0" applyBorder="0" applyAlignment="0"/>
    <xf numFmtId="49" fontId="192" fillId="0" borderId="0">
      <alignment horizontal="justify" vertical="center" wrapText="1"/>
    </xf>
    <xf numFmtId="0" fontId="193" fillId="0" borderId="8">
      <alignment horizontal="center" vertical="center" wrapText="1"/>
    </xf>
    <xf numFmtId="0" fontId="195" fillId="0" borderId="0" applyNumberFormat="0" applyFill="0" applyBorder="0" applyAlignment="0" applyProtection="0"/>
    <xf numFmtId="0" fontId="194" fillId="0" borderId="0">
      <alignment horizontal="center"/>
    </xf>
    <xf numFmtId="40" fontId="9" fillId="0" borderId="0"/>
    <xf numFmtId="0" fontId="196" fillId="0" borderId="8"/>
    <xf numFmtId="3" fontId="197" fillId="0" borderId="0" applyNumberFormat="0" applyFill="0" applyBorder="0" applyAlignment="0" applyProtection="0">
      <alignment horizontal="center" wrapText="1"/>
    </xf>
    <xf numFmtId="0" fontId="198" fillId="0" borderId="39" applyBorder="0" applyAlignment="0">
      <alignment horizontal="center" vertical="center"/>
    </xf>
    <xf numFmtId="0" fontId="199" fillId="0" borderId="0" applyNumberFormat="0" applyFill="0" applyBorder="0" applyAlignment="0" applyProtection="0">
      <alignment horizontal="centerContinuous"/>
    </xf>
    <xf numFmtId="0" fontId="120" fillId="0" borderId="40" applyNumberFormat="0" applyFill="0" applyBorder="0" applyAlignment="0" applyProtection="0">
      <alignment horizontal="center" vertical="center" wrapText="1"/>
    </xf>
    <xf numFmtId="0" fontId="195" fillId="0" borderId="0" applyNumberFormat="0" applyFill="0" applyBorder="0" applyAlignment="0" applyProtection="0"/>
    <xf numFmtId="0" fontId="195" fillId="0" borderId="0" applyNumberFormat="0" applyFill="0" applyBorder="0" applyAlignment="0" applyProtection="0"/>
    <xf numFmtId="0" fontId="195" fillId="0" borderId="0" applyNumberFormat="0" applyFill="0" applyBorder="0" applyAlignment="0" applyProtection="0"/>
    <xf numFmtId="3" fontId="200" fillId="0" borderId="14" applyNumberFormat="0" applyAlignment="0">
      <alignment horizontal="center" vertical="center"/>
    </xf>
    <xf numFmtId="3" fontId="201" fillId="0" borderId="8" applyNumberFormat="0" applyAlignment="0">
      <alignment horizontal="left" wrapText="1"/>
    </xf>
    <xf numFmtId="0" fontId="202" fillId="0" borderId="41" applyNumberFormat="0" applyBorder="0" applyAlignment="0">
      <alignment vertical="center"/>
    </xf>
    <xf numFmtId="0" fontId="25" fillId="0" borderId="5" applyNumberFormat="0" applyFont="0" applyFill="0" applyAlignment="0" applyProtection="0"/>
    <xf numFmtId="0" fontId="103" fillId="0" borderId="42" applyNumberFormat="0" applyFill="0" applyAlignment="0" applyProtection="0"/>
    <xf numFmtId="0" fontId="25" fillId="0" borderId="5" applyNumberFormat="0" applyFont="0" applyFill="0" applyAlignment="0" applyProtection="0"/>
    <xf numFmtId="0" fontId="208" fillId="0" borderId="43" applyNumberFormat="0" applyAlignment="0">
      <alignment horizontal="center"/>
    </xf>
    <xf numFmtId="0" fontId="29" fillId="0" borderId="0"/>
    <xf numFmtId="0" fontId="208" fillId="0" borderId="43" applyNumberFormat="0" applyAlignment="0">
      <alignment horizontal="center"/>
    </xf>
    <xf numFmtId="0" fontId="148" fillId="45" borderId="0" applyNumberFormat="0" applyBorder="0" applyAlignment="0" applyProtection="0"/>
    <xf numFmtId="0" fontId="196" fillId="0" borderId="44">
      <alignment horizontal="center"/>
    </xf>
    <xf numFmtId="170" fontId="25" fillId="0" borderId="0" applyFont="0" applyFill="0" applyBorder="0" applyAlignment="0" applyProtection="0"/>
    <xf numFmtId="320" fontId="25" fillId="0" borderId="0" applyFont="0" applyFill="0" applyBorder="0" applyAlignment="0" applyProtection="0"/>
    <xf numFmtId="278" fontId="133" fillId="0" borderId="0" applyFont="0" applyFill="0" applyBorder="0" applyAlignment="0" applyProtection="0"/>
    <xf numFmtId="198" fontId="25" fillId="0" borderId="0" applyFont="0" applyFill="0" applyBorder="0" applyAlignment="0" applyProtection="0"/>
    <xf numFmtId="323" fontId="25" fillId="0" borderId="0" applyFont="0" applyFill="0" applyBorder="0" applyAlignment="0" applyProtection="0"/>
    <xf numFmtId="0" fontId="209" fillId="0" borderId="0" applyNumberFormat="0" applyFill="0" applyBorder="0" applyAlignment="0" applyProtection="0"/>
    <xf numFmtId="0" fontId="124" fillId="0" borderId="25">
      <alignment horizontal="center"/>
    </xf>
    <xf numFmtId="324" fontId="106" fillId="0" borderId="0"/>
    <xf numFmtId="318" fontId="68" fillId="0" borderId="0"/>
    <xf numFmtId="325" fontId="106" fillId="0" borderId="1"/>
    <xf numFmtId="326" fontId="68" fillId="0" borderId="1"/>
    <xf numFmtId="0" fontId="152" fillId="0" borderId="0"/>
    <xf numFmtId="3" fontId="68" fillId="0" borderId="0" applyNumberFormat="0" applyBorder="0" applyAlignment="0" applyProtection="0">
      <alignment horizontal="centerContinuous"/>
      <protection locked="0"/>
    </xf>
    <xf numFmtId="3" fontId="210" fillId="0" borderId="0">
      <protection locked="0"/>
    </xf>
    <xf numFmtId="0" fontId="152" fillId="0" borderId="0"/>
    <xf numFmtId="164" fontId="211" fillId="61" borderId="39">
      <alignment vertical="top"/>
    </xf>
    <xf numFmtId="0" fontId="192" fillId="62" borderId="1">
      <alignment horizontal="left" vertical="center"/>
    </xf>
    <xf numFmtId="165" fontId="213" fillId="63" borderId="39"/>
    <xf numFmtId="164" fontId="130" fillId="0" borderId="39">
      <alignment horizontal="left" vertical="top"/>
    </xf>
    <xf numFmtId="0" fontId="214" fillId="64" borderId="0">
      <alignment horizontal="left" vertical="center"/>
    </xf>
    <xf numFmtId="0" fontId="16" fillId="0" borderId="0" applyBorder="0"/>
    <xf numFmtId="164" fontId="24" fillId="0" borderId="14">
      <alignment horizontal="left" vertical="top"/>
    </xf>
    <xf numFmtId="0" fontId="212" fillId="0" borderId="14">
      <alignment horizontal="left" vertical="center"/>
    </xf>
    <xf numFmtId="0" fontId="25" fillId="0" borderId="0" applyFont="0" applyFill="0" applyBorder="0" applyAlignment="0" applyProtection="0"/>
    <xf numFmtId="0" fontId="25" fillId="0" borderId="0" applyFont="0" applyFill="0" applyBorder="0" applyAlignment="0" applyProtection="0"/>
    <xf numFmtId="166" fontId="19" fillId="0" borderId="0" applyFont="0" applyFill="0" applyBorder="0" applyAlignment="0" applyProtection="0"/>
    <xf numFmtId="327" fontId="25" fillId="0" borderId="0" applyFont="0" applyFill="0" applyBorder="0" applyAlignment="0" applyProtection="0"/>
    <xf numFmtId="166" fontId="97" fillId="0" borderId="0" applyFont="0" applyFill="0" applyBorder="0" applyAlignment="0" applyProtection="0"/>
    <xf numFmtId="168" fontId="97" fillId="0" borderId="0" applyFont="0" applyFill="0" applyBorder="0" applyAlignment="0" applyProtection="0"/>
    <xf numFmtId="0" fontId="209" fillId="0" borderId="0" applyNumberFormat="0" applyFill="0" applyBorder="0" applyAlignment="0" applyProtection="0"/>
    <xf numFmtId="0" fontId="209" fillId="0" borderId="0" applyNumberFormat="0" applyFill="0" applyBorder="0" applyAlignment="0" applyProtection="0"/>
    <xf numFmtId="0" fontId="209" fillId="0" borderId="0" applyNumberFormat="0" applyFill="0" applyBorder="0" applyAlignment="0" applyProtection="0"/>
    <xf numFmtId="0" fontId="215" fillId="0" borderId="0" applyNumberFormat="0" applyFont="0" applyFill="0" applyBorder="0" applyProtection="0">
      <alignment horizontal="center" vertical="center" wrapText="1"/>
    </xf>
    <xf numFmtId="0" fontId="25" fillId="0" borderId="0" applyFont="0" applyFill="0" applyBorder="0" applyAlignment="0" applyProtection="0"/>
    <xf numFmtId="0" fontId="25" fillId="0" borderId="0" applyFont="0" applyFill="0" applyBorder="0" applyAlignment="0" applyProtection="0"/>
    <xf numFmtId="0" fontId="216" fillId="0" borderId="0" applyNumberFormat="0" applyFill="0" applyBorder="0" applyAlignment="0" applyProtection="0"/>
    <xf numFmtId="0" fontId="28" fillId="0" borderId="45" applyFont="0" applyBorder="0" applyAlignment="0">
      <alignment horizontal="center"/>
    </xf>
    <xf numFmtId="170" fontId="17" fillId="0" borderId="0" applyFont="0" applyFill="0" applyBorder="0" applyAlignment="0" applyProtection="0"/>
    <xf numFmtId="0" fontId="217" fillId="0" borderId="0">
      <alignment vertical="center"/>
    </xf>
    <xf numFmtId="166" fontId="218" fillId="0" borderId="0" applyFont="0" applyFill="0" applyBorder="0" applyAlignment="0" applyProtection="0"/>
    <xf numFmtId="168" fontId="218" fillId="0" borderId="0" applyFont="0" applyFill="0" applyBorder="0" applyAlignment="0" applyProtection="0"/>
    <xf numFmtId="0" fontId="218" fillId="0" borderId="0"/>
    <xf numFmtId="0" fontId="219" fillId="0" borderId="0" applyFont="0" applyFill="0" applyBorder="0" applyAlignment="0" applyProtection="0"/>
    <xf numFmtId="0" fontId="219" fillId="0" borderId="0" applyFont="0" applyFill="0" applyBorder="0" applyAlignment="0" applyProtection="0"/>
    <xf numFmtId="0" fontId="10" fillId="0" borderId="0">
      <alignment vertical="center"/>
    </xf>
    <xf numFmtId="40" fontId="220" fillId="0" borderId="0" applyFont="0" applyFill="0" applyBorder="0" applyAlignment="0" applyProtection="0"/>
    <xf numFmtId="38" fontId="220" fillId="0" borderId="0" applyFont="0" applyFill="0" applyBorder="0" applyAlignment="0" applyProtection="0"/>
    <xf numFmtId="0" fontId="220" fillId="0" borderId="0" applyFont="0" applyFill="0" applyBorder="0" applyAlignment="0" applyProtection="0"/>
    <xf numFmtId="0" fontId="220" fillId="0" borderId="0" applyFont="0" applyFill="0" applyBorder="0" applyAlignment="0" applyProtection="0"/>
    <xf numFmtId="9" fontId="221" fillId="0" borderId="0" applyBorder="0" applyAlignment="0" applyProtection="0"/>
    <xf numFmtId="0" fontId="222" fillId="0" borderId="0"/>
    <xf numFmtId="0" fontId="223" fillId="0" borderId="4"/>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4" fillId="0" borderId="0" applyFont="0" applyFill="0" applyBorder="0" applyAlignment="0" applyProtection="0"/>
    <xf numFmtId="0" fontId="154" fillId="0" borderId="0" applyFont="0" applyFill="0" applyBorder="0" applyAlignment="0" applyProtection="0"/>
    <xf numFmtId="198" fontId="25" fillId="0" borderId="0" applyFont="0" applyFill="0" applyBorder="0" applyAlignment="0" applyProtection="0"/>
    <xf numFmtId="231" fontId="25" fillId="0" borderId="0" applyFont="0" applyFill="0" applyBorder="0" applyAlignment="0" applyProtection="0"/>
    <xf numFmtId="0" fontId="154" fillId="0" borderId="0"/>
    <xf numFmtId="0" fontId="224" fillId="0" borderId="0"/>
    <xf numFmtId="0" fontId="147" fillId="0" borderId="0"/>
    <xf numFmtId="0" fontId="22" fillId="51" borderId="30" applyNumberFormat="0" applyAlignment="0"/>
    <xf numFmtId="170" fontId="182" fillId="0" borderId="0" applyFont="0" applyFill="0" applyBorder="0" applyAlignment="0" applyProtection="0"/>
    <xf numFmtId="171" fontId="182" fillId="0" borderId="0" applyFont="0" applyFill="0" applyBorder="0" applyAlignment="0" applyProtection="0"/>
    <xf numFmtId="0" fontId="22" fillId="3" borderId="30" applyNumberFormat="0" applyAlignment="0"/>
    <xf numFmtId="0" fontId="147" fillId="0" borderId="0">
      <protection locked="0"/>
    </xf>
    <xf numFmtId="171" fontId="10" fillId="0" borderId="0" applyFont="0" applyFill="0" applyBorder="0" applyAlignment="0" applyProtection="0"/>
    <xf numFmtId="170" fontId="10" fillId="0" borderId="0" applyFont="0" applyFill="0" applyBorder="0" applyAlignment="0" applyProtection="0"/>
    <xf numFmtId="225" fontId="25" fillId="0" borderId="0" applyFont="0" applyFill="0" applyBorder="0" applyAlignment="0" applyProtection="0"/>
    <xf numFmtId="223" fontId="25" fillId="0" borderId="0" applyFont="0" applyFill="0" applyBorder="0" applyAlignment="0" applyProtection="0"/>
    <xf numFmtId="0" fontId="22" fillId="0" borderId="0"/>
    <xf numFmtId="0" fontId="25" fillId="0" borderId="0"/>
    <xf numFmtId="0" fontId="22" fillId="0" borderId="0"/>
    <xf numFmtId="198" fontId="182" fillId="0" borderId="0" applyFont="0" applyFill="0" applyBorder="0" applyAlignment="0" applyProtection="0"/>
    <xf numFmtId="198" fontId="22" fillId="0" borderId="0" applyFont="0" applyFill="0" applyBorder="0" applyAlignment="0" applyProtection="0"/>
    <xf numFmtId="231" fontId="182" fillId="0" borderId="0" applyFont="0" applyFill="0" applyBorder="0" applyAlignment="0" applyProtection="0"/>
    <xf numFmtId="290" fontId="25" fillId="0" borderId="0" applyFont="0" applyFill="0" applyBorder="0" applyAlignment="0" applyProtection="0"/>
    <xf numFmtId="289" fontId="25" fillId="0" borderId="0" applyFont="0" applyFill="0" applyBorder="0" applyAlignment="0" applyProtection="0"/>
    <xf numFmtId="0" fontId="245" fillId="0" borderId="0"/>
  </cellStyleXfs>
  <cellXfs count="989">
    <xf numFmtId="0" fontId="0" fillId="0" borderId="0" xfId="0"/>
    <xf numFmtId="172" fontId="2" fillId="0" borderId="0" xfId="0" applyNumberFormat="1" applyFont="1" applyAlignment="1">
      <alignment vertical="top"/>
    </xf>
    <xf numFmtId="0" fontId="2" fillId="0" borderId="0" xfId="0" applyFont="1" applyAlignment="1">
      <alignment vertical="top"/>
    </xf>
    <xf numFmtId="172" fontId="4" fillId="0" borderId="0" xfId="0" applyNumberFormat="1" applyFont="1" applyAlignment="1">
      <alignment vertical="top"/>
    </xf>
    <xf numFmtId="0" fontId="4" fillId="0" borderId="0" xfId="0" applyFont="1" applyAlignment="1">
      <alignment vertical="top"/>
    </xf>
    <xf numFmtId="0" fontId="6" fillId="0" borderId="0" xfId="0" applyFont="1" applyAlignment="1">
      <alignment horizontal="center" vertical="center"/>
    </xf>
    <xf numFmtId="0" fontId="7" fillId="0" borderId="0" xfId="0" applyFont="1" applyAlignment="1">
      <alignment horizontal="center" vertical="center"/>
    </xf>
    <xf numFmtId="0" fontId="254" fillId="0" borderId="0" xfId="0" applyFont="1" applyAlignment="1">
      <alignment horizontal="center" vertical="center"/>
    </xf>
    <xf numFmtId="0" fontId="254" fillId="0" borderId="0" xfId="0" applyFont="1" applyAlignment="1">
      <alignment vertical="center"/>
    </xf>
    <xf numFmtId="0" fontId="255" fillId="0" borderId="0" xfId="0" applyFont="1" applyAlignment="1">
      <alignment vertical="center"/>
    </xf>
    <xf numFmtId="173" fontId="255" fillId="0" borderId="0" xfId="847" applyNumberFormat="1" applyFont="1" applyAlignment="1">
      <alignment vertical="center"/>
    </xf>
    <xf numFmtId="3" fontId="255" fillId="0" borderId="0" xfId="0" applyNumberFormat="1" applyFont="1" applyAlignment="1">
      <alignment vertical="center"/>
    </xf>
    <xf numFmtId="0" fontId="8" fillId="0" borderId="1" xfId="0" applyFont="1" applyBorder="1" applyAlignment="1">
      <alignment horizontal="center" vertical="center" wrapText="1"/>
    </xf>
    <xf numFmtId="3" fontId="256" fillId="0" borderId="0" xfId="0" applyNumberFormat="1" applyFont="1"/>
    <xf numFmtId="175" fontId="255" fillId="0" borderId="0" xfId="0" applyNumberFormat="1" applyFont="1" applyAlignment="1">
      <alignment vertical="center"/>
    </xf>
    <xf numFmtId="176" fontId="255" fillId="0" borderId="0" xfId="0" applyNumberFormat="1" applyFont="1" applyAlignment="1">
      <alignment vertical="center"/>
    </xf>
    <xf numFmtId="4" fontId="255" fillId="0" borderId="0" xfId="0" applyNumberFormat="1" applyFont="1"/>
    <xf numFmtId="174" fontId="1" fillId="65" borderId="1" xfId="0" applyNumberFormat="1" applyFont="1" applyFill="1" applyBorder="1" applyAlignment="1">
      <alignment horizontal="center" vertical="center" wrapText="1"/>
    </xf>
    <xf numFmtId="174" fontId="8" fillId="0" borderId="10" xfId="0" applyNumberFormat="1" applyFont="1" applyBorder="1" applyAlignment="1">
      <alignment horizontal="center" vertical="center" wrapText="1"/>
    </xf>
    <xf numFmtId="0" fontId="256" fillId="0" borderId="0" xfId="0" applyFont="1" applyAlignment="1">
      <alignment horizontal="right" vertical="center"/>
    </xf>
    <xf numFmtId="175" fontId="256" fillId="0" borderId="0" xfId="0" applyNumberFormat="1" applyFont="1" applyAlignment="1">
      <alignment horizontal="center" vertical="center"/>
    </xf>
    <xf numFmtId="177" fontId="255" fillId="0" borderId="0" xfId="1613" applyNumberFormat="1" applyFont="1" applyAlignment="1">
      <alignment vertical="center"/>
    </xf>
    <xf numFmtId="178" fontId="255" fillId="0" borderId="0" xfId="0" applyNumberFormat="1" applyFont="1" applyAlignment="1">
      <alignment vertical="center"/>
    </xf>
    <xf numFmtId="4" fontId="256" fillId="0" borderId="0" xfId="0" applyNumberFormat="1" applyFont="1"/>
    <xf numFmtId="173" fontId="255" fillId="0" borderId="0" xfId="0" applyNumberFormat="1" applyFont="1" applyAlignment="1">
      <alignment vertical="center"/>
    </xf>
    <xf numFmtId="179" fontId="255" fillId="0" borderId="0" xfId="0" applyNumberFormat="1" applyFont="1" applyAlignment="1">
      <alignment vertical="center"/>
    </xf>
    <xf numFmtId="0" fontId="8" fillId="0" borderId="24" xfId="0" applyFont="1" applyBorder="1" applyAlignment="1">
      <alignment horizontal="center" vertical="center" wrapText="1"/>
    </xf>
    <xf numFmtId="3" fontId="8" fillId="0" borderId="1" xfId="0" applyNumberFormat="1" applyFont="1" applyBorder="1" applyAlignment="1">
      <alignment horizontal="center" vertical="center" wrapText="1"/>
    </xf>
    <xf numFmtId="3" fontId="8" fillId="65" borderId="1" xfId="0" applyNumberFormat="1" applyFont="1" applyFill="1" applyBorder="1" applyAlignment="1">
      <alignment horizontal="center" vertical="center" wrapText="1"/>
    </xf>
    <xf numFmtId="0" fontId="257" fillId="0" borderId="0" xfId="0" applyFont="1" applyAlignment="1">
      <alignment horizontal="center" vertical="center"/>
    </xf>
    <xf numFmtId="175" fontId="257" fillId="0" borderId="0" xfId="0" applyNumberFormat="1" applyFont="1" applyAlignment="1">
      <alignment horizontal="center" vertical="center"/>
    </xf>
    <xf numFmtId="180" fontId="257" fillId="0" borderId="0" xfId="0" applyNumberFormat="1" applyFont="1" applyAlignment="1">
      <alignment horizontal="center" vertical="center"/>
    </xf>
    <xf numFmtId="178" fontId="257" fillId="0" borderId="0" xfId="0" applyNumberFormat="1" applyFont="1" applyAlignment="1">
      <alignment horizontal="center" vertical="center"/>
    </xf>
    <xf numFmtId="4" fontId="258" fillId="0" borderId="0" xfId="0" applyNumberFormat="1" applyFont="1" applyAlignment="1">
      <alignment horizontal="center"/>
    </xf>
    <xf numFmtId="173" fontId="257" fillId="0" borderId="0" xfId="0" applyNumberFormat="1" applyFont="1" applyAlignment="1">
      <alignment horizontal="center" vertical="center"/>
    </xf>
    <xf numFmtId="179" fontId="257" fillId="0" borderId="0" xfId="0" applyNumberFormat="1" applyFont="1" applyAlignment="1">
      <alignment horizontal="center" vertical="center"/>
    </xf>
    <xf numFmtId="0" fontId="259" fillId="0" borderId="29" xfId="0" applyFont="1" applyBorder="1" applyAlignment="1">
      <alignment horizontal="center" vertical="center" wrapText="1"/>
    </xf>
    <xf numFmtId="3" fontId="259" fillId="0" borderId="29" xfId="0" applyNumberFormat="1" applyFont="1" applyBorder="1" applyAlignment="1">
      <alignment horizontal="right" vertical="center" wrapText="1"/>
    </xf>
    <xf numFmtId="3" fontId="260" fillId="65" borderId="29" xfId="0" applyNumberFormat="1" applyFont="1" applyFill="1" applyBorder="1" applyAlignment="1">
      <alignment horizontal="right" vertical="center" wrapText="1"/>
    </xf>
    <xf numFmtId="3" fontId="259" fillId="0" borderId="29" xfId="0" applyNumberFormat="1" applyFont="1" applyBorder="1" applyAlignment="1">
      <alignment horizontal="center" vertical="center" wrapText="1"/>
    </xf>
    <xf numFmtId="174" fontId="259" fillId="0" borderId="10" xfId="0" applyNumberFormat="1" applyFont="1" applyBorder="1" applyAlignment="1">
      <alignment horizontal="center" vertical="center" wrapText="1"/>
    </xf>
    <xf numFmtId="0" fontId="261" fillId="0" borderId="0" xfId="0" applyFont="1" applyAlignment="1">
      <alignment horizontal="center" vertical="center"/>
    </xf>
    <xf numFmtId="175" fontId="261" fillId="0" borderId="0" xfId="0" applyNumberFormat="1" applyFont="1" applyAlignment="1">
      <alignment horizontal="center" vertical="center"/>
    </xf>
    <xf numFmtId="177" fontId="261" fillId="0" borderId="0" xfId="1613" applyNumberFormat="1" applyFont="1" applyAlignment="1">
      <alignment horizontal="center" vertical="center"/>
    </xf>
    <xf numFmtId="178" fontId="261" fillId="0" borderId="0" xfId="0" applyNumberFormat="1" applyFont="1" applyAlignment="1">
      <alignment horizontal="center" vertical="center"/>
    </xf>
    <xf numFmtId="4" fontId="259" fillId="0" borderId="0" xfId="0" applyNumberFormat="1" applyFont="1" applyAlignment="1">
      <alignment horizontal="center"/>
    </xf>
    <xf numFmtId="173" fontId="261" fillId="0" borderId="0" xfId="0" applyNumberFormat="1" applyFont="1" applyAlignment="1">
      <alignment horizontal="center" vertical="center"/>
    </xf>
    <xf numFmtId="179" fontId="261" fillId="0" borderId="0" xfId="0" applyNumberFormat="1" applyFont="1" applyAlignment="1">
      <alignment horizontal="center" vertical="center"/>
    </xf>
    <xf numFmtId="0" fontId="8" fillId="66" borderId="8" xfId="0" applyFont="1" applyFill="1" applyBorder="1" applyAlignment="1">
      <alignment horizontal="center" vertical="top" wrapText="1"/>
    </xf>
    <xf numFmtId="0" fontId="8" fillId="66" borderId="8" xfId="0" applyFont="1" applyFill="1" applyBorder="1" applyAlignment="1">
      <alignment horizontal="left" vertical="top" wrapText="1"/>
    </xf>
    <xf numFmtId="3" fontId="8" fillId="66" borderId="8" xfId="0" quotePrefix="1" applyNumberFormat="1" applyFont="1" applyFill="1" applyBorder="1" applyAlignment="1">
      <alignment horizontal="right" vertical="center" wrapText="1"/>
    </xf>
    <xf numFmtId="3" fontId="1" fillId="66" borderId="8" xfId="0" quotePrefix="1" applyNumberFormat="1" applyFont="1" applyFill="1" applyBorder="1" applyAlignment="1">
      <alignment horizontal="right" vertical="center" wrapText="1"/>
    </xf>
    <xf numFmtId="3" fontId="8" fillId="66" borderId="8" xfId="0" applyNumberFormat="1" applyFont="1" applyFill="1" applyBorder="1" applyAlignment="1">
      <alignment horizontal="center" vertical="center" wrapText="1"/>
    </xf>
    <xf numFmtId="0" fontId="257" fillId="0" borderId="0" xfId="0" applyFont="1" applyAlignment="1">
      <alignment vertical="center"/>
    </xf>
    <xf numFmtId="175" fontId="262" fillId="0" borderId="0" xfId="0" applyNumberFormat="1" applyFont="1" applyAlignment="1">
      <alignment vertical="center"/>
    </xf>
    <xf numFmtId="9" fontId="261" fillId="0" borderId="0" xfId="1613" applyFont="1" applyAlignment="1">
      <alignment horizontal="center" vertical="center"/>
    </xf>
    <xf numFmtId="175" fontId="257" fillId="0" borderId="0" xfId="1613" applyNumberFormat="1" applyFont="1" applyAlignment="1">
      <alignment vertical="center"/>
    </xf>
    <xf numFmtId="178" fontId="257" fillId="0" borderId="0" xfId="0" applyNumberFormat="1" applyFont="1" applyAlignment="1">
      <alignment vertical="center"/>
    </xf>
    <xf numFmtId="4" fontId="258" fillId="0" borderId="0" xfId="0" applyNumberFormat="1" applyFont="1"/>
    <xf numFmtId="173" fontId="257" fillId="0" borderId="0" xfId="0" applyNumberFormat="1" applyFont="1" applyAlignment="1">
      <alignment vertical="center"/>
    </xf>
    <xf numFmtId="179" fontId="257" fillId="0" borderId="0" xfId="0" applyNumberFormat="1" applyFont="1" applyAlignment="1">
      <alignment vertical="center"/>
    </xf>
    <xf numFmtId="175" fontId="8" fillId="0" borderId="8" xfId="847" applyNumberFormat="1" applyFont="1" applyFill="1" applyBorder="1" applyAlignment="1">
      <alignment horizontal="right" vertical="center" wrapText="1"/>
    </xf>
    <xf numFmtId="173" fontId="258" fillId="0" borderId="0" xfId="847" applyNumberFormat="1" applyFont="1" applyFill="1" applyAlignment="1">
      <alignment vertical="center"/>
    </xf>
    <xf numFmtId="175" fontId="257" fillId="0" borderId="0" xfId="0" applyNumberFormat="1" applyFont="1" applyAlignment="1">
      <alignment vertical="center"/>
    </xf>
    <xf numFmtId="3" fontId="257" fillId="0" borderId="0" xfId="0" applyNumberFormat="1" applyFont="1" applyAlignment="1">
      <alignment vertical="center"/>
    </xf>
    <xf numFmtId="0" fontId="258" fillId="67" borderId="8" xfId="0" applyFont="1" applyFill="1" applyBorder="1" applyAlignment="1">
      <alignment horizontal="center" vertical="center" wrapText="1"/>
    </xf>
    <xf numFmtId="0" fontId="258" fillId="67" borderId="8" xfId="0" applyFont="1" applyFill="1" applyBorder="1" applyAlignment="1">
      <alignment horizontal="left" vertical="center" wrapText="1"/>
    </xf>
    <xf numFmtId="175" fontId="258" fillId="67" borderId="8" xfId="847" applyNumberFormat="1" applyFont="1" applyFill="1" applyBorder="1" applyAlignment="1">
      <alignment horizontal="right" vertical="center" wrapText="1"/>
    </xf>
    <xf numFmtId="175" fontId="262" fillId="67" borderId="8" xfId="847" applyNumberFormat="1" applyFont="1" applyFill="1" applyBorder="1" applyAlignment="1">
      <alignment horizontal="right" vertical="center" wrapText="1"/>
    </xf>
    <xf numFmtId="175" fontId="256" fillId="67" borderId="8" xfId="847" applyNumberFormat="1" applyFont="1" applyFill="1" applyBorder="1" applyAlignment="1">
      <alignment horizontal="right" vertical="center" wrapText="1"/>
    </xf>
    <xf numFmtId="175" fontId="258" fillId="67" borderId="8" xfId="847" applyNumberFormat="1" applyFont="1" applyFill="1" applyBorder="1" applyAlignment="1">
      <alignment horizontal="center" vertical="center" wrapText="1"/>
    </xf>
    <xf numFmtId="175" fontId="258" fillId="0" borderId="0" xfId="0" applyNumberFormat="1" applyFont="1" applyAlignment="1">
      <alignment vertical="center"/>
    </xf>
    <xf numFmtId="0" fontId="258" fillId="0" borderId="0" xfId="0" applyFont="1" applyAlignment="1">
      <alignment vertical="center"/>
    </xf>
    <xf numFmtId="0" fontId="8" fillId="0" borderId="8" xfId="0" applyFont="1" applyBorder="1" applyAlignment="1">
      <alignment horizontal="center" vertical="top" wrapText="1"/>
    </xf>
    <xf numFmtId="0" fontId="8" fillId="0" borderId="8" xfId="0" applyFont="1" applyBorder="1" applyAlignment="1">
      <alignment horizontal="left" vertical="top" wrapText="1"/>
    </xf>
    <xf numFmtId="175" fontId="258" fillId="67" borderId="8" xfId="847" applyNumberFormat="1" applyFont="1" applyFill="1" applyBorder="1" applyAlignment="1">
      <alignment horizontal="right" vertical="top" wrapText="1"/>
    </xf>
    <xf numFmtId="175" fontId="8" fillId="0" borderId="8" xfId="847" applyNumberFormat="1" applyFont="1" applyFill="1" applyBorder="1" applyAlignment="1">
      <alignment horizontal="right" vertical="top" wrapText="1"/>
    </xf>
    <xf numFmtId="175" fontId="1" fillId="65" borderId="8" xfId="847" applyNumberFormat="1" applyFont="1" applyFill="1" applyBorder="1" applyAlignment="1">
      <alignment horizontal="right" vertical="top" wrapText="1"/>
    </xf>
    <xf numFmtId="175" fontId="2" fillId="0" borderId="8" xfId="847" applyNumberFormat="1" applyFont="1" applyFill="1" applyBorder="1" applyAlignment="1">
      <alignment horizontal="center" vertical="top" wrapText="1"/>
    </xf>
    <xf numFmtId="175" fontId="10" fillId="0" borderId="8" xfId="847" applyNumberFormat="1" applyFont="1" applyFill="1" applyBorder="1" applyAlignment="1">
      <alignment horizontal="center" vertical="top" wrapText="1"/>
    </xf>
    <xf numFmtId="171" fontId="257" fillId="0" borderId="0" xfId="0" applyNumberFormat="1" applyFont="1" applyAlignment="1">
      <alignment vertical="center"/>
    </xf>
    <xf numFmtId="4" fontId="257" fillId="0" borderId="0" xfId="0" applyNumberFormat="1" applyFont="1"/>
    <xf numFmtId="181" fontId="257" fillId="0" borderId="0" xfId="0" applyNumberFormat="1" applyFont="1" applyAlignment="1">
      <alignment vertical="center"/>
    </xf>
    <xf numFmtId="175" fontId="10" fillId="0" borderId="8" xfId="847" applyNumberFormat="1" applyFont="1" applyFill="1" applyBorder="1" applyAlignment="1">
      <alignment horizontal="center" vertical="center" wrapText="1"/>
    </xf>
    <xf numFmtId="173" fontId="258" fillId="0" borderId="0" xfId="847" applyNumberFormat="1" applyFont="1" applyAlignment="1">
      <alignment vertical="center"/>
    </xf>
    <xf numFmtId="9" fontId="257" fillId="0" borderId="0" xfId="1613" applyFont="1" applyAlignment="1">
      <alignment vertical="center"/>
    </xf>
    <xf numFmtId="0" fontId="1" fillId="0" borderId="8" xfId="0" applyFont="1" applyBorder="1" applyAlignment="1">
      <alignment horizontal="center" vertical="top" wrapText="1"/>
    </xf>
    <xf numFmtId="0" fontId="1" fillId="0" borderId="8" xfId="0" applyFont="1" applyBorder="1" applyAlignment="1">
      <alignment horizontal="left" vertical="top" wrapText="1"/>
    </xf>
    <xf numFmtId="175" fontId="1" fillId="0" borderId="8" xfId="847" applyNumberFormat="1" applyFont="1" applyFill="1" applyBorder="1" applyAlignment="1">
      <alignment horizontal="right" vertical="top" wrapText="1"/>
    </xf>
    <xf numFmtId="175" fontId="1" fillId="0" borderId="8" xfId="847" applyNumberFormat="1" applyFont="1" applyFill="1" applyBorder="1" applyAlignment="1">
      <alignment horizontal="left" vertical="top" wrapText="1"/>
    </xf>
    <xf numFmtId="173" fontId="262" fillId="0" borderId="0" xfId="847" applyNumberFormat="1" applyFont="1" applyAlignment="1">
      <alignment vertical="center"/>
    </xf>
    <xf numFmtId="0" fontId="262" fillId="0" borderId="0" xfId="0" applyFont="1" applyAlignment="1">
      <alignment vertical="center"/>
    </xf>
    <xf numFmtId="176" fontId="262" fillId="0" borderId="0" xfId="0" applyNumberFormat="1" applyFont="1" applyAlignment="1">
      <alignment vertical="center"/>
    </xf>
    <xf numFmtId="0" fontId="257" fillId="0" borderId="8" xfId="0" applyFont="1" applyBorder="1" applyAlignment="1">
      <alignment horizontal="center" vertical="top" wrapText="1"/>
    </xf>
    <xf numFmtId="0" fontId="257" fillId="0" borderId="8" xfId="0" applyFont="1" applyBorder="1" applyAlignment="1">
      <alignment horizontal="left" vertical="top" wrapText="1"/>
    </xf>
    <xf numFmtId="175" fontId="257" fillId="0" borderId="8" xfId="847" applyNumberFormat="1" applyFont="1" applyFill="1" applyBorder="1" applyAlignment="1">
      <alignment horizontal="right" vertical="center" wrapText="1"/>
    </xf>
    <xf numFmtId="175" fontId="257" fillId="0" borderId="8" xfId="847" applyNumberFormat="1" applyFont="1" applyFill="1" applyBorder="1" applyAlignment="1">
      <alignment horizontal="right" vertical="top" wrapText="1"/>
    </xf>
    <xf numFmtId="175" fontId="263" fillId="65" borderId="8" xfId="847" applyNumberFormat="1" applyFont="1" applyFill="1" applyBorder="1" applyAlignment="1">
      <alignment horizontal="right" vertical="top" wrapText="1"/>
    </xf>
    <xf numFmtId="175" fontId="255" fillId="0" borderId="8" xfId="847" applyNumberFormat="1" applyFont="1" applyFill="1" applyBorder="1" applyAlignment="1">
      <alignment horizontal="center" vertical="top" wrapText="1"/>
    </xf>
    <xf numFmtId="175" fontId="257" fillId="0" borderId="8" xfId="847" applyNumberFormat="1" applyFont="1" applyFill="1" applyBorder="1" applyAlignment="1">
      <alignment horizontal="left" vertical="top" wrapText="1"/>
    </xf>
    <xf numFmtId="182" fontId="257" fillId="0" borderId="0" xfId="847" applyNumberFormat="1" applyFont="1" applyAlignment="1">
      <alignment vertical="center"/>
    </xf>
    <xf numFmtId="180" fontId="257" fillId="0" borderId="0" xfId="0" applyNumberFormat="1" applyFont="1" applyAlignment="1">
      <alignment vertical="center"/>
    </xf>
    <xf numFmtId="9" fontId="257" fillId="0" borderId="0" xfId="1613" applyFont="1" applyAlignment="1">
      <alignment horizontal="center" vertical="center"/>
    </xf>
    <xf numFmtId="0" fontId="10" fillId="0" borderId="8" xfId="0" applyFont="1" applyBorder="1" applyAlignment="1">
      <alignment horizontal="center" vertical="top" wrapText="1"/>
    </xf>
    <xf numFmtId="0" fontId="10" fillId="0" borderId="8" xfId="0" applyFont="1" applyBorder="1" applyAlignment="1">
      <alignment horizontal="left" vertical="top" wrapText="1"/>
    </xf>
    <xf numFmtId="175" fontId="10" fillId="0" borderId="8" xfId="847" applyNumberFormat="1" applyFont="1" applyFill="1" applyBorder="1" applyAlignment="1">
      <alignment horizontal="right" vertical="center" wrapText="1"/>
    </xf>
    <xf numFmtId="175" fontId="10" fillId="0" borderId="8" xfId="847" applyNumberFormat="1" applyFont="1" applyFill="1" applyBorder="1" applyAlignment="1">
      <alignment horizontal="right" vertical="top" wrapText="1"/>
    </xf>
    <xf numFmtId="175" fontId="11" fillId="65" borderId="8" xfId="847" applyNumberFormat="1" applyFont="1" applyFill="1" applyBorder="1" applyAlignment="1">
      <alignment horizontal="right" vertical="top" wrapText="1"/>
    </xf>
    <xf numFmtId="175" fontId="10" fillId="0" borderId="8" xfId="847" applyNumberFormat="1" applyFont="1" applyFill="1" applyBorder="1" applyAlignment="1">
      <alignment horizontal="left" vertical="top" wrapText="1"/>
    </xf>
    <xf numFmtId="173" fontId="257" fillId="0" borderId="0" xfId="847" applyNumberFormat="1" applyFont="1" applyAlignment="1">
      <alignment vertical="center"/>
    </xf>
    <xf numFmtId="169" fontId="257" fillId="0" borderId="0" xfId="0" applyNumberFormat="1" applyFont="1" applyAlignment="1">
      <alignment vertical="center"/>
    </xf>
    <xf numFmtId="183" fontId="257" fillId="0" borderId="0" xfId="0" applyNumberFormat="1" applyFont="1" applyAlignment="1">
      <alignment vertical="center"/>
    </xf>
    <xf numFmtId="0" fontId="11" fillId="0" borderId="8" xfId="0" quotePrefix="1" applyFont="1" applyBorder="1" applyAlignment="1">
      <alignment horizontal="center" vertical="top" wrapText="1"/>
    </xf>
    <xf numFmtId="0" fontId="11" fillId="0" borderId="8" xfId="0" applyFont="1" applyBorder="1" applyAlignment="1">
      <alignment horizontal="left" vertical="top" wrapText="1"/>
    </xf>
    <xf numFmtId="175" fontId="11" fillId="0" borderId="8" xfId="847" applyNumberFormat="1" applyFont="1" applyFill="1" applyBorder="1" applyAlignment="1">
      <alignment horizontal="right" vertical="center" wrapText="1"/>
    </xf>
    <xf numFmtId="175" fontId="11" fillId="0" borderId="8" xfId="847" applyNumberFormat="1" applyFont="1" applyFill="1" applyBorder="1" applyAlignment="1">
      <alignment horizontal="right" vertical="top" wrapText="1"/>
    </xf>
    <xf numFmtId="173" fontId="11" fillId="0" borderId="0" xfId="847" applyNumberFormat="1" applyFont="1" applyAlignment="1">
      <alignment vertical="center"/>
    </xf>
    <xf numFmtId="175" fontId="11" fillId="0" borderId="0" xfId="0" applyNumberFormat="1" applyFont="1" applyAlignment="1">
      <alignment vertical="center"/>
    </xf>
    <xf numFmtId="0" fontId="11" fillId="0" borderId="0" xfId="0" applyFont="1" applyAlignment="1">
      <alignment vertical="center"/>
    </xf>
    <xf numFmtId="49" fontId="10" fillId="0" borderId="8" xfId="847" applyNumberFormat="1" applyFont="1" applyFill="1" applyBorder="1" applyAlignment="1">
      <alignment horizontal="left" vertical="top" wrapText="1"/>
    </xf>
    <xf numFmtId="173" fontId="10" fillId="0" borderId="0" xfId="847" applyNumberFormat="1" applyFont="1" applyAlignment="1">
      <alignment vertical="center"/>
    </xf>
    <xf numFmtId="0" fontId="10" fillId="0" borderId="0" xfId="0" applyFont="1" applyAlignment="1">
      <alignment vertical="center"/>
    </xf>
    <xf numFmtId="183" fontId="10" fillId="0" borderId="0" xfId="0" applyNumberFormat="1" applyFont="1" applyAlignment="1">
      <alignment vertical="center"/>
    </xf>
    <xf numFmtId="175" fontId="10" fillId="0" borderId="0" xfId="0" applyNumberFormat="1" applyFont="1" applyAlignment="1">
      <alignment vertical="center"/>
    </xf>
    <xf numFmtId="175" fontId="10" fillId="65" borderId="8" xfId="847" applyNumberFormat="1" applyFont="1" applyFill="1" applyBorder="1" applyAlignment="1">
      <alignment horizontal="right" vertical="top" wrapText="1"/>
    </xf>
    <xf numFmtId="173" fontId="10" fillId="0" borderId="0" xfId="0" applyNumberFormat="1" applyFont="1" applyAlignment="1">
      <alignment vertical="center"/>
    </xf>
    <xf numFmtId="173" fontId="10" fillId="0" borderId="0" xfId="847" applyNumberFormat="1" applyFont="1" applyFill="1" applyAlignment="1">
      <alignment vertical="center"/>
    </xf>
    <xf numFmtId="175" fontId="261" fillId="0" borderId="8" xfId="847" applyNumberFormat="1" applyFont="1" applyFill="1" applyBorder="1" applyAlignment="1">
      <alignment horizontal="right" vertical="top" wrapText="1"/>
    </xf>
    <xf numFmtId="43" fontId="11" fillId="0" borderId="0" xfId="0" applyNumberFormat="1" applyFont="1" applyAlignment="1">
      <alignment vertical="center"/>
    </xf>
    <xf numFmtId="183" fontId="11" fillId="0" borderId="0" xfId="0" applyNumberFormat="1" applyFont="1" applyAlignment="1">
      <alignment vertical="center"/>
    </xf>
    <xf numFmtId="173" fontId="11" fillId="0" borderId="0" xfId="847" applyNumberFormat="1" applyFont="1" applyFill="1" applyAlignment="1">
      <alignment vertical="center"/>
    </xf>
    <xf numFmtId="175" fontId="11" fillId="0" borderId="8" xfId="847" applyNumberFormat="1" applyFont="1" applyFill="1" applyBorder="1" applyAlignment="1">
      <alignment horizontal="center" vertical="top" wrapText="1"/>
    </xf>
    <xf numFmtId="171" fontId="11" fillId="0" borderId="0" xfId="847" applyFont="1" applyAlignment="1">
      <alignment vertical="center"/>
    </xf>
    <xf numFmtId="0" fontId="258" fillId="67" borderId="8" xfId="0" applyFont="1" applyFill="1" applyBorder="1" applyAlignment="1">
      <alignment horizontal="center" vertical="top" wrapText="1"/>
    </xf>
    <xf numFmtId="0" fontId="258" fillId="67" borderId="8" xfId="0" applyFont="1" applyFill="1" applyBorder="1" applyAlignment="1">
      <alignment horizontal="left" vertical="top" wrapText="1"/>
    </xf>
    <xf numFmtId="175" fontId="262" fillId="67" borderId="8" xfId="847" applyNumberFormat="1" applyFont="1" applyFill="1" applyBorder="1" applyAlignment="1">
      <alignment horizontal="right" vertical="top" wrapText="1"/>
    </xf>
    <xf numFmtId="175" fontId="255" fillId="67" borderId="8" xfId="847" applyNumberFormat="1" applyFont="1" applyFill="1" applyBorder="1" applyAlignment="1">
      <alignment horizontal="center" vertical="top" wrapText="1"/>
    </xf>
    <xf numFmtId="175" fontId="258" fillId="67" borderId="8" xfId="847" applyNumberFormat="1" applyFont="1" applyFill="1" applyBorder="1" applyAlignment="1">
      <alignment horizontal="center" vertical="top" wrapText="1"/>
    </xf>
    <xf numFmtId="0" fontId="10" fillId="0" borderId="8" xfId="0" quotePrefix="1" applyFont="1" applyBorder="1" applyAlignment="1">
      <alignment horizontal="center" vertical="top" wrapText="1"/>
    </xf>
    <xf numFmtId="180" fontId="10" fillId="0" borderId="8" xfId="847" applyNumberFormat="1" applyFont="1" applyFill="1" applyBorder="1" applyAlignment="1">
      <alignment horizontal="right" vertical="top" wrapText="1"/>
    </xf>
    <xf numFmtId="171" fontId="10" fillId="0" borderId="0" xfId="847" applyFont="1" applyAlignment="1">
      <alignment vertical="center"/>
    </xf>
    <xf numFmtId="175" fontId="257" fillId="67" borderId="8" xfId="847" applyNumberFormat="1" applyFont="1" applyFill="1" applyBorder="1" applyAlignment="1">
      <alignment horizontal="left" vertical="top" wrapText="1"/>
    </xf>
    <xf numFmtId="182" fontId="10" fillId="0" borderId="8" xfId="847" applyNumberFormat="1" applyFont="1" applyFill="1" applyBorder="1" applyAlignment="1">
      <alignment horizontal="right" vertical="top" wrapText="1"/>
    </xf>
    <xf numFmtId="171" fontId="257" fillId="0" borderId="0" xfId="847" applyFont="1" applyAlignment="1">
      <alignment vertical="center"/>
    </xf>
    <xf numFmtId="180" fontId="258" fillId="0" borderId="0" xfId="0" applyNumberFormat="1" applyFont="1" applyAlignment="1">
      <alignment vertical="center"/>
    </xf>
    <xf numFmtId="181" fontId="8" fillId="0" borderId="8" xfId="847" applyNumberFormat="1" applyFont="1" applyFill="1" applyBorder="1" applyAlignment="1">
      <alignment horizontal="left" vertical="top" wrapText="1"/>
    </xf>
    <xf numFmtId="175" fontId="258" fillId="0" borderId="0" xfId="1613" applyNumberFormat="1" applyFont="1" applyAlignment="1">
      <alignment vertical="center"/>
    </xf>
    <xf numFmtId="3" fontId="258" fillId="0" borderId="0" xfId="0" applyNumberFormat="1" applyFont="1" applyAlignment="1">
      <alignment vertical="center"/>
    </xf>
    <xf numFmtId="175" fontId="8" fillId="0" borderId="8" xfId="847" applyNumberFormat="1" applyFont="1" applyFill="1" applyBorder="1" applyAlignment="1">
      <alignment horizontal="left" vertical="top" wrapText="1"/>
    </xf>
    <xf numFmtId="181" fontId="262" fillId="0" borderId="0" xfId="0" applyNumberFormat="1" applyFont="1" applyAlignment="1">
      <alignment vertical="center"/>
    </xf>
    <xf numFmtId="175" fontId="257" fillId="67" borderId="8" xfId="847" applyNumberFormat="1" applyFont="1" applyFill="1" applyBorder="1" applyAlignment="1">
      <alignment horizontal="right" vertical="top" wrapText="1"/>
    </xf>
    <xf numFmtId="181" fontId="263" fillId="0" borderId="0" xfId="0" applyNumberFormat="1" applyFont="1" applyAlignment="1">
      <alignment vertical="center"/>
    </xf>
    <xf numFmtId="183" fontId="10" fillId="0" borderId="8" xfId="847" applyNumberFormat="1" applyFont="1" applyFill="1" applyBorder="1" applyAlignment="1">
      <alignment horizontal="right" vertical="top" wrapText="1"/>
    </xf>
    <xf numFmtId="175" fontId="263" fillId="0" borderId="8" xfId="847" applyNumberFormat="1" applyFont="1" applyFill="1" applyBorder="1" applyAlignment="1">
      <alignment horizontal="right" vertical="top" wrapText="1"/>
    </xf>
    <xf numFmtId="175" fontId="257" fillId="0" borderId="46" xfId="847" quotePrefix="1" applyNumberFormat="1" applyFont="1" applyFill="1" applyBorder="1" applyAlignment="1">
      <alignment horizontal="left" vertical="top" wrapText="1"/>
    </xf>
    <xf numFmtId="0" fontId="11" fillId="0" borderId="8" xfId="0" applyFont="1" applyBorder="1" applyAlignment="1">
      <alignment horizontal="center" vertical="top" wrapText="1"/>
    </xf>
    <xf numFmtId="9" fontId="263" fillId="0" borderId="0" xfId="1613" applyFont="1" applyAlignment="1">
      <alignment vertical="center"/>
    </xf>
    <xf numFmtId="0" fontId="263" fillId="0" borderId="0" xfId="0" applyFont="1" applyAlignment="1">
      <alignment vertical="center"/>
    </xf>
    <xf numFmtId="173" fontId="263" fillId="0" borderId="0" xfId="0" applyNumberFormat="1" applyFont="1" applyAlignment="1">
      <alignment vertical="center"/>
    </xf>
    <xf numFmtId="9" fontId="10" fillId="0" borderId="0" xfId="1613" applyFont="1" applyAlignment="1">
      <alignment vertical="center"/>
    </xf>
    <xf numFmtId="175" fontId="262" fillId="65" borderId="8" xfId="847" applyNumberFormat="1" applyFont="1" applyFill="1" applyBorder="1" applyAlignment="1">
      <alignment horizontal="right" vertical="top" wrapText="1"/>
    </xf>
    <xf numFmtId="175" fontId="8" fillId="0" borderId="8" xfId="847" quotePrefix="1" applyNumberFormat="1" applyFont="1" applyFill="1" applyBorder="1" applyAlignment="1">
      <alignment horizontal="left" vertical="top" wrapText="1"/>
    </xf>
    <xf numFmtId="9" fontId="258" fillId="0" borderId="0" xfId="1613" applyFont="1" applyAlignment="1">
      <alignment vertical="center"/>
    </xf>
    <xf numFmtId="173" fontId="258" fillId="0" borderId="0" xfId="0" applyNumberFormat="1" applyFont="1" applyAlignment="1">
      <alignment vertical="center"/>
    </xf>
    <xf numFmtId="175" fontId="10" fillId="0" borderId="8" xfId="847" quotePrefix="1" applyNumberFormat="1" applyFont="1" applyFill="1" applyBorder="1" applyAlignment="1">
      <alignment horizontal="left" vertical="top" wrapText="1"/>
    </xf>
    <xf numFmtId="175" fontId="256" fillId="67" borderId="8" xfId="847" applyNumberFormat="1" applyFont="1" applyFill="1" applyBorder="1" applyAlignment="1">
      <alignment horizontal="right" vertical="top" wrapText="1"/>
    </xf>
    <xf numFmtId="175" fontId="264" fillId="67" borderId="8" xfId="847" applyNumberFormat="1" applyFont="1" applyFill="1" applyBorder="1" applyAlignment="1">
      <alignment horizontal="center" vertical="top" wrapText="1"/>
    </xf>
    <xf numFmtId="175" fontId="8" fillId="66" borderId="8" xfId="888" applyNumberFormat="1" applyFont="1" applyFill="1" applyBorder="1" applyAlignment="1">
      <alignment horizontal="right" vertical="top" wrapText="1"/>
    </xf>
    <xf numFmtId="175" fontId="257" fillId="66" borderId="8" xfId="847" applyNumberFormat="1" applyFont="1" applyFill="1" applyBorder="1" applyAlignment="1">
      <alignment horizontal="center" vertical="top" wrapText="1"/>
    </xf>
    <xf numFmtId="175" fontId="258" fillId="65" borderId="46" xfId="847" applyNumberFormat="1" applyFont="1" applyFill="1" applyBorder="1" applyAlignment="1">
      <alignment horizontal="center" vertical="top" wrapText="1"/>
    </xf>
    <xf numFmtId="173" fontId="258" fillId="65" borderId="0" xfId="847" applyNumberFormat="1" applyFont="1" applyFill="1" applyAlignment="1">
      <alignment vertical="center"/>
    </xf>
    <xf numFmtId="180" fontId="258" fillId="65" borderId="0" xfId="0" applyNumberFormat="1" applyFont="1" applyFill="1" applyAlignment="1">
      <alignment vertical="center"/>
    </xf>
    <xf numFmtId="0" fontId="258" fillId="65" borderId="0" xfId="0" applyFont="1" applyFill="1" applyAlignment="1">
      <alignment vertical="center"/>
    </xf>
    <xf numFmtId="175" fontId="258" fillId="65" borderId="0" xfId="0" applyNumberFormat="1" applyFont="1" applyFill="1" applyAlignment="1">
      <alignment vertical="center"/>
    </xf>
    <xf numFmtId="175" fontId="257" fillId="67" borderId="8" xfId="847" applyNumberFormat="1" applyFont="1" applyFill="1" applyBorder="1" applyAlignment="1">
      <alignment horizontal="center" vertical="top" wrapText="1"/>
    </xf>
    <xf numFmtId="175" fontId="10" fillId="0" borderId="8" xfId="888" applyNumberFormat="1" applyFont="1" applyFill="1" applyBorder="1" applyAlignment="1">
      <alignment horizontal="right" vertical="top" wrapText="1"/>
    </xf>
    <xf numFmtId="175" fontId="11" fillId="65" borderId="8" xfId="888" applyNumberFormat="1" applyFont="1" applyFill="1" applyBorder="1" applyAlignment="1">
      <alignment horizontal="right" vertical="top" wrapText="1"/>
    </xf>
    <xf numFmtId="175" fontId="10" fillId="0" borderId="8" xfId="888" applyNumberFormat="1" applyFont="1" applyFill="1" applyBorder="1" applyAlignment="1">
      <alignment horizontal="center" vertical="top" wrapText="1"/>
    </xf>
    <xf numFmtId="175" fontId="11" fillId="0" borderId="8" xfId="888" quotePrefix="1" applyNumberFormat="1" applyFont="1" applyFill="1" applyBorder="1" applyAlignment="1">
      <alignment vertical="top" wrapText="1"/>
    </xf>
    <xf numFmtId="175" fontId="11" fillId="0" borderId="8" xfId="888" applyNumberFormat="1" applyFont="1" applyFill="1" applyBorder="1" applyAlignment="1">
      <alignment horizontal="right" vertical="top" wrapText="1"/>
    </xf>
    <xf numFmtId="0" fontId="11" fillId="0" borderId="8" xfId="0" quotePrefix="1" applyFont="1" applyBorder="1" applyAlignment="1">
      <alignment horizontal="justify" vertical="top" wrapText="1"/>
    </xf>
    <xf numFmtId="0" fontId="11" fillId="0" borderId="8" xfId="0" quotePrefix="1" applyFont="1" applyBorder="1" applyAlignment="1">
      <alignment vertical="top" wrapText="1"/>
    </xf>
    <xf numFmtId="0" fontId="255" fillId="65" borderId="47" xfId="0" applyFont="1" applyFill="1" applyBorder="1" applyAlignment="1">
      <alignment horizontal="center" vertical="center"/>
    </xf>
    <xf numFmtId="0" fontId="255" fillId="65" borderId="47" xfId="0" applyFont="1" applyFill="1" applyBorder="1" applyAlignment="1">
      <alignment vertical="center"/>
    </xf>
    <xf numFmtId="0" fontId="255" fillId="65" borderId="0" xfId="0" applyFont="1" applyFill="1" applyAlignment="1">
      <alignment vertical="center"/>
    </xf>
    <xf numFmtId="0" fontId="256" fillId="65" borderId="0" xfId="0" applyFont="1" applyFill="1" applyAlignment="1">
      <alignment horizontal="center" vertical="center"/>
    </xf>
    <xf numFmtId="0" fontId="9" fillId="65" borderId="0" xfId="0" applyFont="1" applyFill="1" applyAlignment="1">
      <alignment horizontal="left" vertical="center" wrapText="1"/>
    </xf>
    <xf numFmtId="173" fontId="256" fillId="65" borderId="0" xfId="847" applyNumberFormat="1" applyFont="1" applyFill="1" applyBorder="1" applyAlignment="1">
      <alignment vertical="center"/>
    </xf>
    <xf numFmtId="173" fontId="256" fillId="65" borderId="0" xfId="847" applyNumberFormat="1" applyFont="1" applyFill="1" applyBorder="1" applyAlignment="1">
      <alignment horizontal="center" vertical="center"/>
    </xf>
    <xf numFmtId="0" fontId="256" fillId="65" borderId="0" xfId="0" applyFont="1" applyFill="1" applyAlignment="1">
      <alignment vertical="center"/>
    </xf>
    <xf numFmtId="0" fontId="255" fillId="0" borderId="0" xfId="0" applyFont="1" applyAlignment="1">
      <alignment horizontal="center" vertical="center"/>
    </xf>
    <xf numFmtId="0" fontId="2" fillId="0" borderId="0" xfId="0" applyFont="1" applyAlignment="1">
      <alignment horizontal="left" vertical="center" wrapText="1"/>
    </xf>
    <xf numFmtId="173" fontId="255" fillId="0" borderId="0" xfId="847" applyNumberFormat="1" applyFont="1" applyBorder="1" applyAlignment="1">
      <alignment vertical="center"/>
    </xf>
    <xf numFmtId="184" fontId="255" fillId="0" borderId="0" xfId="847" applyNumberFormat="1" applyFont="1" applyBorder="1" applyAlignment="1">
      <alignment vertical="center"/>
    </xf>
    <xf numFmtId="173" fontId="255" fillId="65" borderId="0" xfId="847" applyNumberFormat="1" applyFont="1" applyFill="1" applyBorder="1" applyAlignment="1">
      <alignment vertical="center"/>
    </xf>
    <xf numFmtId="173" fontId="255" fillId="0" borderId="0" xfId="847" applyNumberFormat="1" applyFont="1" applyBorder="1" applyAlignment="1">
      <alignment horizontal="center" vertical="center"/>
    </xf>
    <xf numFmtId="173" fontId="255" fillId="0" borderId="0" xfId="847" applyNumberFormat="1" applyFont="1" applyFill="1" applyBorder="1" applyAlignment="1">
      <alignment vertical="center"/>
    </xf>
    <xf numFmtId="171" fontId="255" fillId="0" borderId="0" xfId="847" applyFont="1" applyFill="1" applyBorder="1" applyAlignment="1">
      <alignment vertical="center"/>
    </xf>
    <xf numFmtId="175" fontId="255" fillId="65" borderId="0" xfId="0" applyNumberFormat="1" applyFont="1" applyFill="1" applyAlignment="1">
      <alignment vertical="center"/>
    </xf>
    <xf numFmtId="175" fontId="255" fillId="0" borderId="0" xfId="0" applyNumberFormat="1" applyFont="1" applyAlignment="1">
      <alignment horizontal="center" vertical="center"/>
    </xf>
    <xf numFmtId="171" fontId="255" fillId="0" borderId="0" xfId="847" applyFont="1" applyFill="1" applyAlignment="1">
      <alignment vertical="center"/>
    </xf>
    <xf numFmtId="0" fontId="225" fillId="0" borderId="8" xfId="0" applyFont="1" applyBorder="1" applyAlignment="1">
      <alignment horizontal="left" vertical="top" wrapText="1"/>
    </xf>
    <xf numFmtId="173" fontId="261" fillId="0" borderId="0" xfId="847" applyNumberFormat="1" applyFont="1" applyAlignment="1">
      <alignment horizontal="center" vertical="center"/>
    </xf>
    <xf numFmtId="3" fontId="261" fillId="0" borderId="0" xfId="0" applyNumberFormat="1" applyFont="1" applyAlignment="1">
      <alignment horizontal="center" vertical="center"/>
    </xf>
    <xf numFmtId="0" fontId="8" fillId="0" borderId="0" xfId="0" applyFont="1" applyAlignment="1">
      <alignment horizontal="center" vertical="center" wrapText="1"/>
    </xf>
    <xf numFmtId="4" fontId="265" fillId="0" borderId="0" xfId="0" applyNumberFormat="1" applyFont="1"/>
    <xf numFmtId="43" fontId="10" fillId="0" borderId="0" xfId="0" applyNumberFormat="1" applyFont="1" applyAlignment="1">
      <alignment vertical="center"/>
    </xf>
    <xf numFmtId="0" fontId="266" fillId="0" borderId="0" xfId="0" applyFont="1" applyAlignment="1">
      <alignment vertical="center"/>
    </xf>
    <xf numFmtId="173" fontId="266" fillId="0" borderId="0" xfId="0" applyNumberFormat="1" applyFont="1" applyAlignment="1">
      <alignment vertical="center"/>
    </xf>
    <xf numFmtId="0" fontId="255" fillId="0" borderId="0" xfId="0" quotePrefix="1" applyFont="1" applyAlignment="1">
      <alignment vertical="center"/>
    </xf>
    <xf numFmtId="173" fontId="266" fillId="66" borderId="0" xfId="0" applyNumberFormat="1" applyFont="1" applyFill="1" applyAlignment="1">
      <alignment vertical="center"/>
    </xf>
    <xf numFmtId="173" fontId="255" fillId="65" borderId="0" xfId="0" applyNumberFormat="1" applyFont="1" applyFill="1" applyAlignment="1">
      <alignment vertical="center"/>
    </xf>
    <xf numFmtId="0" fontId="69" fillId="0" borderId="0" xfId="0" applyFont="1" applyAlignment="1">
      <alignment horizontal="center" vertical="top" wrapText="1"/>
    </xf>
    <xf numFmtId="0" fontId="69" fillId="0" borderId="0" xfId="0" applyFont="1" applyAlignment="1">
      <alignment vertical="top" wrapText="1"/>
    </xf>
    <xf numFmtId="0" fontId="156" fillId="0" borderId="0" xfId="0" applyFont="1" applyAlignment="1">
      <alignment vertical="top" wrapText="1"/>
    </xf>
    <xf numFmtId="0" fontId="156" fillId="0" borderId="0" xfId="0" applyFont="1" applyAlignment="1">
      <alignment horizontal="center" vertical="center" wrapText="1"/>
    </xf>
    <xf numFmtId="175" fontId="229" fillId="0" borderId="0" xfId="888" applyNumberFormat="1" applyFont="1" applyFill="1" applyBorder="1" applyAlignment="1">
      <alignment horizontal="center" vertical="center" wrapText="1"/>
    </xf>
    <xf numFmtId="0" fontId="10" fillId="0" borderId="0" xfId="0" applyFont="1" applyAlignment="1">
      <alignment horizontal="center" vertical="center" wrapText="1"/>
    </xf>
    <xf numFmtId="175" fontId="10" fillId="0" borderId="0" xfId="0" applyNumberFormat="1" applyFont="1" applyAlignment="1">
      <alignment horizontal="center" vertical="center" wrapText="1"/>
    </xf>
    <xf numFmtId="175" fontId="10" fillId="0" borderId="0" xfId="888" applyNumberFormat="1" applyFont="1" applyFill="1" applyAlignment="1">
      <alignment horizontal="center" vertical="center" wrapText="1"/>
    </xf>
    <xf numFmtId="175" fontId="8" fillId="0" borderId="0" xfId="888" applyNumberFormat="1" applyFont="1" applyFill="1" applyAlignment="1">
      <alignment horizontal="center" vertical="center" wrapText="1"/>
    </xf>
    <xf numFmtId="175" fontId="8" fillId="0" borderId="0" xfId="0" applyNumberFormat="1" applyFont="1" applyAlignment="1">
      <alignment horizontal="center" vertical="center" wrapText="1"/>
    </xf>
    <xf numFmtId="0" fontId="10" fillId="0" borderId="0" xfId="0" applyFont="1" applyAlignment="1">
      <alignment vertical="top" wrapText="1"/>
    </xf>
    <xf numFmtId="175" fontId="8" fillId="0" borderId="0" xfId="888" applyNumberFormat="1" applyFont="1" applyFill="1" applyAlignment="1">
      <alignment horizontal="right" vertical="top" wrapText="1"/>
    </xf>
    <xf numFmtId="169" fontId="8" fillId="0" borderId="0" xfId="0" applyNumberFormat="1" applyFont="1" applyAlignment="1">
      <alignment horizontal="center" vertical="center" wrapText="1"/>
    </xf>
    <xf numFmtId="0" fontId="8" fillId="0" borderId="29" xfId="0" applyFont="1" applyBorder="1" applyAlignment="1">
      <alignment horizontal="center" vertical="center" wrapText="1"/>
    </xf>
    <xf numFmtId="0" fontId="8" fillId="0" borderId="29" xfId="0" quotePrefix="1" applyFont="1" applyBorder="1" applyAlignment="1">
      <alignment horizontal="center" vertical="top" wrapText="1"/>
    </xf>
    <xf numFmtId="0" fontId="8" fillId="0" borderId="0" xfId="0" applyFont="1" applyAlignment="1">
      <alignment vertical="top" wrapText="1"/>
    </xf>
    <xf numFmtId="175" fontId="8" fillId="0" borderId="0" xfId="0" applyNumberFormat="1" applyFont="1" applyAlignment="1">
      <alignment vertical="top" wrapText="1"/>
    </xf>
    <xf numFmtId="175" fontId="8" fillId="0" borderId="0" xfId="888" applyNumberFormat="1" applyFont="1" applyFill="1" applyAlignment="1">
      <alignment vertical="top" wrapText="1"/>
    </xf>
    <xf numFmtId="175" fontId="10" fillId="0" borderId="8" xfId="1037" applyNumberFormat="1" applyFont="1" applyFill="1" applyBorder="1" applyAlignment="1">
      <alignment horizontal="right" vertical="top" wrapText="1"/>
    </xf>
    <xf numFmtId="175" fontId="226" fillId="0" borderId="8" xfId="1037" applyNumberFormat="1" applyFont="1" applyFill="1" applyBorder="1" applyAlignment="1">
      <alignment horizontal="center" vertical="top" wrapText="1"/>
    </xf>
    <xf numFmtId="175" fontId="10" fillId="0" borderId="0" xfId="0" applyNumberFormat="1" applyFont="1" applyAlignment="1">
      <alignment vertical="top" wrapText="1"/>
    </xf>
    <xf numFmtId="175" fontId="10" fillId="0" borderId="0" xfId="888" applyNumberFormat="1" applyFont="1" applyFill="1" applyAlignment="1">
      <alignment vertical="top" wrapText="1"/>
    </xf>
    <xf numFmtId="175" fontId="11" fillId="0" borderId="8" xfId="1037" applyNumberFormat="1" applyFont="1" applyFill="1" applyBorder="1" applyAlignment="1">
      <alignment horizontal="right" vertical="top" wrapText="1"/>
    </xf>
    <xf numFmtId="175" fontId="229" fillId="0" borderId="8" xfId="1037" applyNumberFormat="1" applyFont="1" applyFill="1" applyBorder="1" applyAlignment="1">
      <alignment horizontal="center" vertical="top" wrapText="1"/>
    </xf>
    <xf numFmtId="175" fontId="11" fillId="0" borderId="0" xfId="0" applyNumberFormat="1" applyFont="1" applyAlignment="1">
      <alignment vertical="top" wrapText="1"/>
    </xf>
    <xf numFmtId="0" fontId="11" fillId="0" borderId="0" xfId="0" applyFont="1" applyAlignment="1">
      <alignment vertical="top" wrapText="1"/>
    </xf>
    <xf numFmtId="175" fontId="11" fillId="0" borderId="0" xfId="888" applyNumberFormat="1" applyFont="1" applyFill="1" applyAlignment="1">
      <alignment vertical="top" wrapText="1"/>
    </xf>
    <xf numFmtId="175" fontId="8" fillId="0" borderId="8" xfId="888" applyNumberFormat="1" applyFont="1" applyFill="1" applyBorder="1" applyAlignment="1">
      <alignment horizontal="right" vertical="top" wrapText="1"/>
    </xf>
    <xf numFmtId="0" fontId="10" fillId="0" borderId="47" xfId="0" applyFont="1" applyBorder="1" applyAlignment="1">
      <alignment horizontal="center" vertical="top" wrapText="1"/>
    </xf>
    <xf numFmtId="0" fontId="10" fillId="0" borderId="47" xfId="0" applyFont="1" applyBorder="1" applyAlignment="1">
      <alignment vertical="top" wrapText="1"/>
    </xf>
    <xf numFmtId="0" fontId="10" fillId="0" borderId="47" xfId="0" applyFont="1" applyBorder="1" applyAlignment="1">
      <alignment horizontal="right" vertical="top" wrapText="1"/>
    </xf>
    <xf numFmtId="0" fontId="158" fillId="0" borderId="0" xfId="0" applyFont="1" applyAlignment="1">
      <alignment horizontal="center" vertical="top" wrapText="1"/>
    </xf>
    <xf numFmtId="0" fontId="158" fillId="0" borderId="0" xfId="0" applyFont="1" applyAlignment="1">
      <alignment vertical="top" wrapText="1"/>
    </xf>
    <xf numFmtId="175" fontId="158" fillId="0" borderId="0" xfId="0" applyNumberFormat="1" applyFont="1" applyAlignment="1">
      <alignment vertical="top" wrapText="1"/>
    </xf>
    <xf numFmtId="175" fontId="261" fillId="0" borderId="8" xfId="1037" applyNumberFormat="1" applyFont="1" applyFill="1" applyBorder="1" applyAlignment="1">
      <alignment horizontal="center" vertical="top" wrapText="1"/>
    </xf>
    <xf numFmtId="0" fontId="9" fillId="0" borderId="1" xfId="0" applyFont="1" applyBorder="1" applyAlignment="1">
      <alignment horizontal="center" vertical="center" wrapText="1"/>
    </xf>
    <xf numFmtId="175" fontId="234" fillId="0" borderId="39" xfId="1015" applyNumberFormat="1" applyFont="1" applyFill="1" applyBorder="1" applyAlignment="1">
      <alignment horizontal="right" vertical="center" wrapText="1"/>
    </xf>
    <xf numFmtId="243" fontId="234" fillId="0" borderId="39" xfId="1613" applyNumberFormat="1" applyFont="1" applyFill="1" applyBorder="1" applyAlignment="1">
      <alignment horizontal="center" vertical="center" wrapText="1"/>
    </xf>
    <xf numFmtId="175" fontId="234" fillId="0" borderId="8" xfId="1015" applyNumberFormat="1" applyFont="1" applyFill="1" applyBorder="1" applyAlignment="1">
      <alignment horizontal="left" vertical="top" wrapText="1"/>
    </xf>
    <xf numFmtId="173" fontId="267" fillId="0" borderId="0" xfId="1015" applyNumberFormat="1" applyFont="1" applyFill="1" applyAlignment="1">
      <alignment vertical="center"/>
    </xf>
    <xf numFmtId="175" fontId="267" fillId="0" borderId="0" xfId="1015" applyNumberFormat="1" applyFont="1" applyFill="1" applyAlignment="1">
      <alignment horizontal="right" vertical="center"/>
    </xf>
    <xf numFmtId="177" fontId="267" fillId="0" borderId="0" xfId="1613" applyNumberFormat="1" applyFont="1" applyFill="1" applyAlignment="1">
      <alignment horizontal="right" vertical="center"/>
    </xf>
    <xf numFmtId="0" fontId="235" fillId="0" borderId="8" xfId="0" applyFont="1" applyBorder="1" applyAlignment="1">
      <alignment horizontal="center" vertical="top" wrapText="1"/>
    </xf>
    <xf numFmtId="0" fontId="2" fillId="0" borderId="8" xfId="0" applyFont="1" applyBorder="1" applyAlignment="1">
      <alignment horizontal="left" vertical="top" wrapText="1"/>
    </xf>
    <xf numFmtId="175" fontId="268" fillId="0" borderId="8" xfId="1015" applyNumberFormat="1" applyFont="1" applyFill="1" applyBorder="1" applyAlignment="1">
      <alignment horizontal="center" vertical="top" wrapText="1"/>
    </xf>
    <xf numFmtId="175" fontId="269" fillId="0" borderId="8" xfId="1015" applyNumberFormat="1" applyFont="1" applyFill="1" applyBorder="1" applyAlignment="1">
      <alignment horizontal="center" vertical="top" wrapText="1"/>
    </xf>
    <xf numFmtId="173" fontId="270" fillId="0" borderId="8" xfId="847" applyNumberFormat="1" applyFont="1" applyFill="1" applyBorder="1" applyAlignment="1">
      <alignment horizontal="right" vertical="top" wrapText="1"/>
    </xf>
    <xf numFmtId="173" fontId="255" fillId="0" borderId="8" xfId="1015" applyNumberFormat="1" applyFont="1" applyFill="1" applyBorder="1" applyAlignment="1">
      <alignment horizontal="right" vertical="top" wrapText="1"/>
    </xf>
    <xf numFmtId="175" fontId="69" fillId="0" borderId="8" xfId="1015" applyNumberFormat="1" applyFont="1" applyFill="1" applyBorder="1" applyAlignment="1">
      <alignment horizontal="center" vertical="top" wrapText="1"/>
    </xf>
    <xf numFmtId="175" fontId="2" fillId="0" borderId="8" xfId="1015" applyNumberFormat="1" applyFont="1" applyFill="1" applyBorder="1" applyAlignment="1">
      <alignment horizontal="left" vertical="top" wrapText="1"/>
    </xf>
    <xf numFmtId="173" fontId="255" fillId="0" borderId="0" xfId="1015" applyNumberFormat="1" applyFont="1" applyFill="1" applyAlignment="1">
      <alignment vertical="center"/>
    </xf>
    <xf numFmtId="0" fontId="69" fillId="0" borderId="8" xfId="0" applyFont="1" applyBorder="1" applyAlignment="1">
      <alignment horizontal="center" vertical="top" wrapText="1"/>
    </xf>
    <xf numFmtId="175" fontId="2" fillId="0" borderId="8" xfId="886" applyNumberFormat="1" applyFont="1" applyFill="1" applyBorder="1" applyAlignment="1">
      <alignment horizontal="right" vertical="top" wrapText="1"/>
    </xf>
    <xf numFmtId="173" fontId="271" fillId="0" borderId="8" xfId="1015" applyNumberFormat="1" applyFont="1" applyFill="1" applyBorder="1" applyAlignment="1">
      <alignment horizontal="right" vertical="top" wrapText="1"/>
    </xf>
    <xf numFmtId="175" fontId="69" fillId="0" borderId="8" xfId="1015" applyNumberFormat="1" applyFont="1" applyFill="1" applyBorder="1" applyAlignment="1">
      <alignment vertical="top" wrapText="1"/>
    </xf>
    <xf numFmtId="173" fontId="255" fillId="0" borderId="0" xfId="1015" quotePrefix="1" applyNumberFormat="1" applyFont="1" applyFill="1" applyAlignment="1">
      <alignment vertical="center"/>
    </xf>
    <xf numFmtId="0" fontId="255" fillId="0" borderId="8" xfId="0" applyFont="1" applyBorder="1" applyAlignment="1">
      <alignment horizontal="left" vertical="top" wrapText="1"/>
    </xf>
    <xf numFmtId="175" fontId="69" fillId="0" borderId="8" xfId="1015" quotePrefix="1" applyNumberFormat="1" applyFont="1" applyFill="1" applyBorder="1" applyAlignment="1">
      <alignment vertical="top" wrapText="1"/>
    </xf>
    <xf numFmtId="175" fontId="69" fillId="0" borderId="8" xfId="1015" applyNumberFormat="1" applyFont="1" applyFill="1" applyBorder="1" applyAlignment="1">
      <alignment horizontal="left" vertical="top" wrapText="1"/>
    </xf>
    <xf numFmtId="1" fontId="2" fillId="0" borderId="8" xfId="1587" applyNumberFormat="1" applyFont="1" applyBorder="1" applyAlignment="1">
      <alignment horizontal="center" vertical="top" wrapText="1"/>
    </xf>
    <xf numFmtId="1" fontId="270" fillId="0" borderId="8" xfId="1587" applyNumberFormat="1" applyFont="1" applyBorder="1" applyAlignment="1">
      <alignment horizontal="center" vertical="top" wrapText="1"/>
    </xf>
    <xf numFmtId="0" fontId="255" fillId="0" borderId="47" xfId="0" applyFont="1" applyBorder="1" applyAlignment="1">
      <alignment horizontal="center" vertical="center"/>
    </xf>
    <xf numFmtId="173" fontId="255" fillId="0" borderId="0" xfId="1015" applyNumberFormat="1" applyFont="1" applyFill="1" applyBorder="1" applyAlignment="1">
      <alignment vertical="top"/>
    </xf>
    <xf numFmtId="169" fontId="255" fillId="0" borderId="0" xfId="1015" applyFont="1" applyFill="1" applyBorder="1" applyAlignment="1">
      <alignment vertical="top"/>
    </xf>
    <xf numFmtId="0" fontId="255" fillId="0" borderId="8" xfId="0" applyFont="1" applyBorder="1" applyAlignment="1">
      <alignment horizontal="center" vertical="top" wrapText="1"/>
    </xf>
    <xf numFmtId="173" fontId="255" fillId="0" borderId="8" xfId="847" applyNumberFormat="1" applyFont="1" applyFill="1" applyBorder="1" applyAlignment="1">
      <alignment horizontal="right" vertical="top" wrapText="1"/>
    </xf>
    <xf numFmtId="175" fontId="272" fillId="0" borderId="8" xfId="1015" applyNumberFormat="1" applyFont="1" applyFill="1" applyBorder="1" applyAlignment="1">
      <alignment vertical="top" wrapText="1"/>
    </xf>
    <xf numFmtId="0" fontId="2" fillId="0" borderId="8" xfId="0" applyFont="1" applyBorder="1" applyAlignment="1">
      <alignment vertical="top" wrapText="1"/>
    </xf>
    <xf numFmtId="169" fontId="255" fillId="0" borderId="0" xfId="1015" applyFont="1" applyFill="1" applyAlignment="1">
      <alignment vertical="center"/>
    </xf>
    <xf numFmtId="0" fontId="9" fillId="68" borderId="8" xfId="0" applyFont="1" applyFill="1" applyBorder="1" applyAlignment="1">
      <alignment horizontal="left" vertical="top" wrapText="1"/>
    </xf>
    <xf numFmtId="1" fontId="69" fillId="0" borderId="8" xfId="1587" applyNumberFormat="1" applyFont="1" applyBorder="1" applyAlignment="1">
      <alignment horizontal="center" vertical="top" wrapText="1"/>
    </xf>
    <xf numFmtId="175" fontId="255" fillId="0" borderId="8" xfId="886" applyNumberFormat="1" applyFont="1" applyFill="1" applyBorder="1" applyAlignment="1">
      <alignment horizontal="right" vertical="top" wrapText="1"/>
    </xf>
    <xf numFmtId="0" fontId="225" fillId="0" borderId="0" xfId="0" applyFont="1" applyAlignment="1">
      <alignment horizontal="center" vertical="top"/>
    </xf>
    <xf numFmtId="3" fontId="225" fillId="0" borderId="0" xfId="0" applyNumberFormat="1" applyFont="1" applyAlignment="1">
      <alignment horizontal="center" vertical="top"/>
    </xf>
    <xf numFmtId="3" fontId="237" fillId="0" borderId="0" xfId="0" applyNumberFormat="1" applyFont="1" applyAlignment="1">
      <alignment horizontal="center" vertical="top"/>
    </xf>
    <xf numFmtId="3" fontId="225" fillId="0" borderId="6" xfId="0" applyNumberFormat="1" applyFont="1" applyBorder="1" applyAlignment="1">
      <alignment horizontal="center" vertical="top"/>
    </xf>
    <xf numFmtId="0" fontId="225" fillId="0" borderId="6" xfId="0" applyFont="1" applyBorder="1" applyAlignment="1">
      <alignment horizontal="right" vertical="center"/>
    </xf>
    <xf numFmtId="0" fontId="2" fillId="0" borderId="14" xfId="0" applyFont="1" applyBorder="1" applyAlignment="1">
      <alignment horizontal="center" vertical="center" wrapText="1"/>
    </xf>
    <xf numFmtId="0" fontId="2" fillId="0" borderId="39" xfId="0" applyFont="1" applyBorder="1" applyAlignment="1">
      <alignment horizontal="center" vertical="center" wrapText="1"/>
    </xf>
    <xf numFmtId="3" fontId="2" fillId="0" borderId="39" xfId="0" applyNumberFormat="1" applyFont="1" applyBorder="1" applyAlignment="1">
      <alignment horizontal="center" vertical="center" wrapText="1"/>
    </xf>
    <xf numFmtId="175" fontId="9" fillId="0" borderId="8" xfId="847" applyNumberFormat="1" applyFont="1" applyFill="1" applyBorder="1" applyAlignment="1">
      <alignment horizontal="right" vertical="top" wrapText="1"/>
    </xf>
    <xf numFmtId="0" fontId="2" fillId="0" borderId="8" xfId="0" applyFont="1" applyBorder="1" applyAlignment="1">
      <alignment horizontal="center" vertical="top" wrapText="1"/>
    </xf>
    <xf numFmtId="175" fontId="2" fillId="0" borderId="8" xfId="847" applyNumberFormat="1" applyFont="1" applyFill="1" applyBorder="1" applyAlignment="1">
      <alignment horizontal="right" vertical="top" wrapText="1"/>
    </xf>
    <xf numFmtId="175" fontId="2" fillId="0" borderId="8" xfId="847" applyNumberFormat="1" applyFont="1" applyFill="1" applyBorder="1" applyAlignment="1">
      <alignment vertical="top" wrapText="1"/>
    </xf>
    <xf numFmtId="3" fontId="0" fillId="0" borderId="0" xfId="0" applyNumberFormat="1"/>
    <xf numFmtId="0" fontId="0" fillId="0" borderId="0" xfId="0" applyAlignment="1">
      <alignment vertical="top"/>
    </xf>
    <xf numFmtId="0" fontId="9" fillId="69" borderId="8" xfId="0" applyFont="1" applyFill="1" applyBorder="1" applyAlignment="1">
      <alignment horizontal="left" vertical="top" wrapText="1"/>
    </xf>
    <xf numFmtId="0" fontId="225" fillId="0" borderId="0" xfId="0" applyFont="1" applyAlignment="1">
      <alignment horizontal="center" vertical="center"/>
    </xf>
    <xf numFmtId="0" fontId="9" fillId="68" borderId="8" xfId="0" applyFont="1" applyFill="1" applyBorder="1" applyAlignment="1">
      <alignment horizontal="center" vertical="center" wrapText="1"/>
    </xf>
    <xf numFmtId="0" fontId="9" fillId="68" borderId="8" xfId="0" applyFont="1" applyFill="1" applyBorder="1" applyAlignment="1">
      <alignment horizontal="left" vertical="center" wrapText="1"/>
    </xf>
    <xf numFmtId="0" fontId="2" fillId="68" borderId="8" xfId="0" applyFont="1" applyFill="1" applyBorder="1" applyAlignment="1">
      <alignment horizontal="center" vertical="center" wrapText="1"/>
    </xf>
    <xf numFmtId="3" fontId="9" fillId="68" borderId="8" xfId="1613" applyNumberFormat="1" applyFont="1" applyFill="1" applyBorder="1" applyAlignment="1">
      <alignment horizontal="right" vertical="center" wrapText="1"/>
    </xf>
    <xf numFmtId="3" fontId="9" fillId="68" borderId="8" xfId="1613" applyNumberFormat="1" applyFont="1" applyFill="1" applyBorder="1" applyAlignment="1">
      <alignment horizontal="center" vertical="center" wrapText="1"/>
    </xf>
    <xf numFmtId="175" fontId="2" fillId="0" borderId="8" xfId="847" applyNumberFormat="1" applyFont="1" applyBorder="1" applyAlignment="1">
      <alignment horizontal="right" vertical="top" wrapText="1"/>
    </xf>
    <xf numFmtId="0" fontId="9" fillId="0" borderId="8" xfId="0" applyFont="1" applyBorder="1" applyAlignment="1">
      <alignment horizontal="right" vertical="top" wrapText="1"/>
    </xf>
    <xf numFmtId="0" fontId="255" fillId="0" borderId="8" xfId="0" applyFont="1" applyBorder="1" applyAlignment="1">
      <alignment vertical="top" wrapText="1"/>
    </xf>
    <xf numFmtId="175" fontId="255" fillId="0" borderId="8" xfId="0" applyNumberFormat="1" applyFont="1" applyBorder="1" applyAlignment="1">
      <alignment horizontal="center" vertical="top"/>
    </xf>
    <xf numFmtId="175" fontId="255" fillId="0" borderId="8" xfId="847" applyNumberFormat="1" applyFont="1" applyFill="1" applyBorder="1" applyAlignment="1">
      <alignment vertical="top" wrapText="1"/>
    </xf>
    <xf numFmtId="0" fontId="69" fillId="0" borderId="8" xfId="0" applyFont="1" applyBorder="1" applyAlignment="1">
      <alignment vertical="top"/>
    </xf>
    <xf numFmtId="175" fontId="2" fillId="0" borderId="8" xfId="847" applyNumberFormat="1" applyFont="1" applyFill="1" applyBorder="1" applyAlignment="1">
      <alignment vertical="top"/>
    </xf>
    <xf numFmtId="0" fontId="255" fillId="0" borderId="8" xfId="0" applyFont="1" applyBorder="1" applyAlignment="1">
      <alignment horizontal="center" vertical="center"/>
    </xf>
    <xf numFmtId="0" fontId="0" fillId="0" borderId="8" xfId="0" applyBorder="1"/>
    <xf numFmtId="0" fontId="0" fillId="0" borderId="47" xfId="0" applyBorder="1"/>
    <xf numFmtId="9" fontId="8" fillId="0" borderId="8" xfId="1613" applyFont="1" applyFill="1" applyBorder="1" applyAlignment="1">
      <alignment horizontal="right" vertical="top" wrapText="1"/>
    </xf>
    <xf numFmtId="9" fontId="10" fillId="0" borderId="8" xfId="1613" applyFont="1" applyFill="1" applyBorder="1" applyAlignment="1">
      <alignment horizontal="right" vertical="top" wrapText="1"/>
    </xf>
    <xf numFmtId="9" fontId="11" fillId="0" borderId="8" xfId="1613" applyFont="1" applyFill="1" applyBorder="1" applyAlignment="1">
      <alignment horizontal="right" vertical="top" wrapText="1"/>
    </xf>
    <xf numFmtId="9" fontId="10" fillId="0" borderId="47" xfId="1613" applyFont="1" applyBorder="1" applyAlignment="1">
      <alignment horizontal="right" vertical="top" wrapText="1"/>
    </xf>
    <xf numFmtId="175" fontId="228" fillId="0" borderId="8" xfId="1037" applyNumberFormat="1" applyFont="1" applyFill="1" applyBorder="1" applyAlignment="1">
      <alignment horizontal="center" vertical="top" wrapText="1"/>
    </xf>
    <xf numFmtId="3" fontId="0" fillId="0" borderId="0" xfId="0" applyNumberFormat="1" applyAlignment="1">
      <alignment vertical="top"/>
    </xf>
    <xf numFmtId="3" fontId="9" fillId="0" borderId="8" xfId="0" applyNumberFormat="1" applyFont="1" applyBorder="1" applyAlignment="1">
      <alignment horizontal="right" vertical="top" wrapText="1"/>
    </xf>
    <xf numFmtId="0" fontId="2" fillId="0" borderId="8" xfId="0" applyFont="1" applyBorder="1" applyAlignment="1">
      <alignment horizontal="right" vertical="top" wrapText="1"/>
    </xf>
    <xf numFmtId="0" fontId="9" fillId="68" borderId="8" xfId="0" applyFont="1" applyFill="1" applyBorder="1" applyAlignment="1">
      <alignment horizontal="center" vertical="top" wrapText="1"/>
    </xf>
    <xf numFmtId="0" fontId="2" fillId="68" borderId="8" xfId="0" applyFont="1" applyFill="1" applyBorder="1" applyAlignment="1">
      <alignment horizontal="center" vertical="top" wrapText="1"/>
    </xf>
    <xf numFmtId="175" fontId="9" fillId="68" borderId="8" xfId="847" applyNumberFormat="1" applyFont="1" applyFill="1" applyBorder="1" applyAlignment="1">
      <alignment horizontal="right" vertical="top" wrapText="1"/>
    </xf>
    <xf numFmtId="0" fontId="9" fillId="68" borderId="8" xfId="0" applyFont="1" applyFill="1" applyBorder="1" applyAlignment="1">
      <alignment vertical="top" wrapText="1"/>
    </xf>
    <xf numFmtId="175" fontId="255" fillId="0" borderId="8" xfId="0" applyNumberFormat="1" applyFont="1" applyBorder="1" applyAlignment="1">
      <alignment horizontal="right" vertical="top"/>
    </xf>
    <xf numFmtId="3" fontId="255" fillId="0" borderId="8" xfId="0" applyNumberFormat="1" applyFont="1" applyBorder="1" applyAlignment="1">
      <alignment horizontal="right" vertical="top"/>
    </xf>
    <xf numFmtId="0" fontId="69" fillId="0" borderId="1" xfId="0" applyFont="1" applyBorder="1" applyAlignment="1">
      <alignment horizontal="center" vertical="top" wrapText="1"/>
    </xf>
    <xf numFmtId="0" fontId="2" fillId="0" borderId="56" xfId="0" applyFont="1" applyBorder="1" applyAlignment="1">
      <alignment horizontal="left" vertical="top" wrapText="1"/>
    </xf>
    <xf numFmtId="0" fontId="2" fillId="65" borderId="56" xfId="0" applyFont="1" applyFill="1" applyBorder="1" applyAlignment="1">
      <alignment horizontal="left" vertical="top" wrapText="1"/>
    </xf>
    <xf numFmtId="0" fontId="2" fillId="70" borderId="56" xfId="0" applyFont="1" applyFill="1" applyBorder="1" applyAlignment="1">
      <alignment horizontal="left" vertical="top" wrapText="1"/>
    </xf>
    <xf numFmtId="0" fontId="2" fillId="71" borderId="56" xfId="0" applyFont="1" applyFill="1" applyBorder="1" applyAlignment="1">
      <alignment horizontal="left" vertical="top" wrapText="1"/>
    </xf>
    <xf numFmtId="0" fontId="239" fillId="0" borderId="0" xfId="0" applyFont="1" applyAlignment="1">
      <alignment horizontal="center" vertical="top"/>
    </xf>
    <xf numFmtId="0" fontId="238" fillId="0" borderId="39" xfId="0" applyFont="1" applyBorder="1" applyAlignment="1">
      <alignment horizontal="center" vertical="center" wrapText="1"/>
    </xf>
    <xf numFmtId="0" fontId="238" fillId="68" borderId="8" xfId="0" applyFont="1" applyFill="1" applyBorder="1" applyAlignment="1">
      <alignment horizontal="center" vertical="center" wrapText="1"/>
    </xf>
    <xf numFmtId="0" fontId="238" fillId="0" borderId="8" xfId="0" applyFont="1" applyBorder="1" applyAlignment="1">
      <alignment horizontal="center" vertical="top" wrapText="1"/>
    </xf>
    <xf numFmtId="0" fontId="273" fillId="0" borderId="8" xfId="0" applyFont="1" applyBorder="1" applyAlignment="1">
      <alignment horizontal="center" vertical="top" wrapText="1"/>
    </xf>
    <xf numFmtId="0" fontId="238" fillId="68" borderId="8" xfId="0" applyFont="1" applyFill="1" applyBorder="1" applyAlignment="1">
      <alignment horizontal="center" vertical="top" wrapText="1"/>
    </xf>
    <xf numFmtId="0" fontId="269" fillId="0" borderId="8" xfId="0" applyFont="1" applyBorder="1" applyAlignment="1">
      <alignment horizontal="center" vertical="top" wrapText="1"/>
    </xf>
    <xf numFmtId="0" fontId="274" fillId="0" borderId="47" xfId="0" applyFont="1" applyBorder="1"/>
    <xf numFmtId="0" fontId="274" fillId="0" borderId="0" xfId="0" applyFont="1"/>
    <xf numFmtId="0" fontId="0" fillId="69" borderId="8" xfId="0" applyFill="1" applyBorder="1" applyAlignment="1">
      <alignment vertical="top"/>
    </xf>
    <xf numFmtId="0" fontId="274" fillId="69" borderId="8" xfId="0" applyFont="1" applyFill="1" applyBorder="1" applyAlignment="1">
      <alignment vertical="top"/>
    </xf>
    <xf numFmtId="3" fontId="9" fillId="68" borderId="8" xfId="1613" applyNumberFormat="1" applyFont="1" applyFill="1" applyBorder="1" applyAlignment="1">
      <alignment horizontal="right" vertical="top" wrapText="1"/>
    </xf>
    <xf numFmtId="175" fontId="9" fillId="69" borderId="8" xfId="847" applyNumberFormat="1" applyFont="1" applyFill="1" applyBorder="1" applyAlignment="1">
      <alignment horizontal="right" vertical="top" wrapText="1"/>
    </xf>
    <xf numFmtId="175" fontId="2" fillId="0" borderId="8" xfId="0" applyNumberFormat="1" applyFont="1" applyBorder="1" applyAlignment="1">
      <alignment horizontal="right" vertical="top" wrapText="1"/>
    </xf>
    <xf numFmtId="1" fontId="2" fillId="0" borderId="8" xfId="0" quotePrefix="1" applyNumberFormat="1" applyFont="1" applyBorder="1" applyAlignment="1">
      <alignment horizontal="left" vertical="top" wrapText="1"/>
    </xf>
    <xf numFmtId="0" fontId="2" fillId="65" borderId="8" xfId="0" applyFont="1" applyFill="1" applyBorder="1" applyAlignment="1">
      <alignment horizontal="center" vertical="top" wrapText="1"/>
    </xf>
    <xf numFmtId="1" fontId="2" fillId="65" borderId="8" xfId="0" applyNumberFormat="1" applyFont="1" applyFill="1" applyBorder="1" applyAlignment="1">
      <alignment horizontal="left" vertical="top" wrapText="1"/>
    </xf>
    <xf numFmtId="1" fontId="269" fillId="70" borderId="8" xfId="0" applyNumberFormat="1" applyFont="1" applyFill="1" applyBorder="1" applyAlignment="1">
      <alignment horizontal="center" vertical="top" wrapText="1"/>
    </xf>
    <xf numFmtId="175" fontId="2" fillId="65" borderId="8" xfId="0" applyNumberFormat="1" applyFont="1" applyFill="1" applyBorder="1" applyAlignment="1">
      <alignment horizontal="right" vertical="top" wrapText="1"/>
    </xf>
    <xf numFmtId="3" fontId="2" fillId="65" borderId="8" xfId="0" applyNumberFormat="1" applyFont="1" applyFill="1" applyBorder="1" applyAlignment="1">
      <alignment horizontal="right" vertical="top" wrapText="1"/>
    </xf>
    <xf numFmtId="175" fontId="2" fillId="65" borderId="8" xfId="0" applyNumberFormat="1" applyFont="1" applyFill="1" applyBorder="1" applyAlignment="1">
      <alignment horizontal="left" vertical="top" wrapText="1"/>
    </xf>
    <xf numFmtId="0" fontId="2" fillId="65" borderId="8" xfId="0" applyFont="1" applyFill="1" applyBorder="1" applyAlignment="1">
      <alignment horizontal="left" vertical="top" wrapText="1"/>
    </xf>
    <xf numFmtId="0" fontId="2" fillId="70" borderId="8" xfId="0" applyFont="1" applyFill="1" applyBorder="1" applyAlignment="1">
      <alignment horizontal="left" vertical="top" wrapText="1"/>
    </xf>
    <xf numFmtId="0" fontId="2" fillId="70" borderId="8" xfId="0" applyFont="1" applyFill="1" applyBorder="1" applyAlignment="1">
      <alignment horizontal="center" vertical="top" wrapText="1"/>
    </xf>
    <xf numFmtId="0" fontId="238" fillId="65" borderId="8" xfId="0" applyFont="1" applyFill="1" applyBorder="1" applyAlignment="1">
      <alignment horizontal="center" vertical="top" wrapText="1"/>
    </xf>
    <xf numFmtId="0" fontId="238" fillId="70" borderId="8" xfId="0" applyFont="1" applyFill="1" applyBorder="1" applyAlignment="1">
      <alignment horizontal="center" vertical="top" wrapText="1"/>
    </xf>
    <xf numFmtId="3" fontId="2" fillId="65" borderId="8" xfId="0" applyNumberFormat="1" applyFont="1" applyFill="1" applyBorder="1" applyAlignment="1">
      <alignment horizontal="center" vertical="top" wrapText="1"/>
    </xf>
    <xf numFmtId="1" fontId="2" fillId="65" borderId="8" xfId="0" quotePrefix="1" applyNumberFormat="1" applyFont="1" applyFill="1" applyBorder="1" applyAlignment="1">
      <alignment horizontal="left" vertical="top" wrapText="1"/>
    </xf>
    <xf numFmtId="0" fontId="2" fillId="65" borderId="8" xfId="0" quotePrefix="1" applyFont="1" applyFill="1" applyBorder="1" applyAlignment="1">
      <alignment horizontal="center" vertical="top" wrapText="1"/>
    </xf>
    <xf numFmtId="0" fontId="225" fillId="65" borderId="8" xfId="0" applyFont="1" applyFill="1" applyBorder="1" applyAlignment="1">
      <alignment horizontal="center" vertical="top" wrapText="1"/>
    </xf>
    <xf numFmtId="0" fontId="2" fillId="72" borderId="8" xfId="0" applyFont="1" applyFill="1" applyBorder="1" applyAlignment="1">
      <alignment horizontal="left" vertical="top" wrapText="1"/>
    </xf>
    <xf numFmtId="0" fontId="2" fillId="72" borderId="8" xfId="0" applyFont="1" applyFill="1" applyBorder="1" applyAlignment="1">
      <alignment horizontal="center" vertical="top" wrapText="1"/>
    </xf>
    <xf numFmtId="0" fontId="238" fillId="72" borderId="8" xfId="0" applyFont="1" applyFill="1" applyBorder="1" applyAlignment="1">
      <alignment horizontal="center" vertical="top" wrapText="1"/>
    </xf>
    <xf numFmtId="0" fontId="2" fillId="65" borderId="8" xfId="0" applyFont="1" applyFill="1" applyBorder="1" applyAlignment="1">
      <alignment horizontal="center" vertical="top"/>
    </xf>
    <xf numFmtId="0" fontId="9" fillId="65" borderId="8" xfId="0" applyFont="1" applyFill="1" applyBorder="1" applyAlignment="1">
      <alignment horizontal="center" vertical="top" wrapText="1"/>
    </xf>
    <xf numFmtId="0" fontId="2" fillId="65" borderId="8" xfId="0" applyFont="1" applyFill="1" applyBorder="1" applyAlignment="1">
      <alignment vertical="top" wrapText="1"/>
    </xf>
    <xf numFmtId="0" fontId="238" fillId="65" borderId="8" xfId="0" applyFont="1" applyFill="1" applyBorder="1" applyAlignment="1">
      <alignment horizontal="center" vertical="top"/>
    </xf>
    <xf numFmtId="0" fontId="2" fillId="65" borderId="8" xfId="0" applyFont="1" applyFill="1" applyBorder="1" applyAlignment="1">
      <alignment vertical="top"/>
    </xf>
    <xf numFmtId="3" fontId="2" fillId="0" borderId="8" xfId="1587" quotePrefix="1" applyNumberFormat="1" applyFont="1" applyBorder="1" applyAlignment="1">
      <alignment horizontal="center" vertical="top" wrapText="1"/>
    </xf>
    <xf numFmtId="3" fontId="2" fillId="0" borderId="8" xfId="1587" quotePrefix="1" applyNumberFormat="1" applyFont="1" applyBorder="1" applyAlignment="1">
      <alignment vertical="top" wrapText="1"/>
    </xf>
    <xf numFmtId="175" fontId="2" fillId="0" borderId="8" xfId="902" applyNumberFormat="1" applyFont="1" applyFill="1" applyBorder="1" applyAlignment="1">
      <alignment vertical="top" wrapText="1"/>
    </xf>
    <xf numFmtId="0" fontId="9" fillId="0" borderId="8" xfId="0" applyFont="1" applyBorder="1" applyAlignment="1">
      <alignment vertical="top"/>
    </xf>
    <xf numFmtId="3" fontId="9" fillId="68" borderId="8" xfId="1613" applyNumberFormat="1" applyFont="1" applyFill="1" applyBorder="1" applyAlignment="1">
      <alignment horizontal="center" vertical="top" wrapText="1"/>
    </xf>
    <xf numFmtId="0" fontId="238" fillId="65" borderId="8" xfId="0" quotePrefix="1" applyFont="1" applyFill="1" applyBorder="1" applyAlignment="1">
      <alignment horizontal="center" vertical="top" wrapText="1"/>
    </xf>
    <xf numFmtId="0" fontId="275" fillId="65" borderId="8" xfId="0" applyFont="1" applyFill="1" applyBorder="1" applyAlignment="1">
      <alignment horizontal="center" vertical="top" wrapText="1"/>
    </xf>
    <xf numFmtId="3" fontId="238" fillId="0" borderId="8" xfId="1587" applyNumberFormat="1" applyFont="1" applyBorder="1" applyAlignment="1">
      <alignment horizontal="center" vertical="top" wrapText="1"/>
    </xf>
    <xf numFmtId="329" fontId="238" fillId="65" borderId="8" xfId="0" applyNumberFormat="1" applyFont="1" applyFill="1" applyBorder="1" applyAlignment="1">
      <alignment horizontal="center" vertical="top" wrapText="1"/>
    </xf>
    <xf numFmtId="175" fontId="238" fillId="65" borderId="8" xfId="0" applyNumberFormat="1" applyFont="1" applyFill="1" applyBorder="1" applyAlignment="1">
      <alignment horizontal="center" vertical="top" wrapText="1"/>
    </xf>
    <xf numFmtId="0" fontId="238" fillId="65" borderId="8" xfId="0" applyFont="1" applyFill="1" applyBorder="1" applyAlignment="1">
      <alignment horizontal="left" vertical="top" wrapText="1"/>
    </xf>
    <xf numFmtId="49" fontId="238" fillId="70" borderId="8" xfId="0" applyNumberFormat="1" applyFont="1" applyFill="1" applyBorder="1" applyAlignment="1">
      <alignment horizontal="center" vertical="top" wrapText="1"/>
    </xf>
    <xf numFmtId="174" fontId="240" fillId="0" borderId="8" xfId="0" applyNumberFormat="1" applyFont="1" applyBorder="1" applyAlignment="1">
      <alignment horizontal="center" vertical="top" wrapText="1"/>
    </xf>
    <xf numFmtId="3" fontId="240" fillId="0" borderId="8" xfId="0" applyNumberFormat="1" applyFont="1" applyBorder="1" applyAlignment="1">
      <alignment horizontal="right" vertical="top" wrapText="1"/>
    </xf>
    <xf numFmtId="3" fontId="238" fillId="0" borderId="8" xfId="0" applyNumberFormat="1" applyFont="1" applyBorder="1" applyAlignment="1">
      <alignment horizontal="center" vertical="top" wrapText="1"/>
    </xf>
    <xf numFmtId="3" fontId="238" fillId="68" borderId="8" xfId="0" applyNumberFormat="1" applyFont="1" applyFill="1" applyBorder="1" applyAlignment="1">
      <alignment horizontal="center" vertical="top" wrapText="1"/>
    </xf>
    <xf numFmtId="0" fontId="238" fillId="0" borderId="8" xfId="0" applyFont="1" applyBorder="1" applyAlignment="1">
      <alignment horizontal="center" vertical="top"/>
    </xf>
    <xf numFmtId="3" fontId="240" fillId="68" borderId="8" xfId="1613" applyNumberFormat="1" applyFont="1" applyFill="1" applyBorder="1" applyAlignment="1">
      <alignment horizontal="center" vertical="top" wrapText="1"/>
    </xf>
    <xf numFmtId="3" fontId="238" fillId="0" borderId="8" xfId="1587" quotePrefix="1" applyNumberFormat="1" applyFont="1" applyBorder="1" applyAlignment="1">
      <alignment horizontal="center" vertical="top" wrapText="1"/>
    </xf>
    <xf numFmtId="0" fontId="69" fillId="65" borderId="8" xfId="0" applyFont="1" applyFill="1" applyBorder="1" applyAlignment="1">
      <alignment horizontal="center" vertical="top" wrapText="1"/>
    </xf>
    <xf numFmtId="0" fontId="69" fillId="70" borderId="8" xfId="0" applyFont="1" applyFill="1" applyBorder="1" applyAlignment="1">
      <alignment horizontal="center" vertical="top" wrapText="1"/>
    </xf>
    <xf numFmtId="0" fontId="69" fillId="68" borderId="8" xfId="0" applyFont="1" applyFill="1" applyBorder="1" applyAlignment="1">
      <alignment horizontal="center" vertical="top" wrapText="1"/>
    </xf>
    <xf numFmtId="0" fontId="276" fillId="69" borderId="8" xfId="0" applyFont="1" applyFill="1" applyBorder="1" applyAlignment="1">
      <alignment vertical="top"/>
    </xf>
    <xf numFmtId="167" fontId="69" fillId="0" borderId="8" xfId="1587" applyNumberFormat="1" applyFont="1" applyBorder="1" applyAlignment="1">
      <alignment horizontal="center" vertical="top" wrapText="1"/>
    </xf>
    <xf numFmtId="0" fontId="2" fillId="65" borderId="56" xfId="0" applyFont="1" applyFill="1" applyBorder="1" applyAlignment="1">
      <alignment horizontal="center" vertical="top" wrapText="1"/>
    </xf>
    <xf numFmtId="0" fontId="69" fillId="71" borderId="8" xfId="0" applyFont="1" applyFill="1" applyBorder="1" applyAlignment="1">
      <alignment horizontal="center" vertical="top" wrapText="1"/>
    </xf>
    <xf numFmtId="0" fontId="2" fillId="71" borderId="8" xfId="0" applyFont="1" applyFill="1" applyBorder="1" applyAlignment="1">
      <alignment horizontal="center" vertical="top" wrapText="1"/>
    </xf>
    <xf numFmtId="175" fontId="2" fillId="71" borderId="8" xfId="0" applyNumberFormat="1" applyFont="1" applyFill="1" applyBorder="1" applyAlignment="1">
      <alignment horizontal="right" vertical="top" wrapText="1"/>
    </xf>
    <xf numFmtId="0" fontId="2" fillId="71" borderId="8" xfId="0" applyFont="1" applyFill="1" applyBorder="1" applyAlignment="1">
      <alignment horizontal="left" vertical="top" wrapText="1"/>
    </xf>
    <xf numFmtId="0" fontId="2" fillId="65" borderId="8" xfId="0" applyFont="1" applyFill="1" applyBorder="1" applyAlignment="1">
      <alignment horizontal="justify" vertical="top" wrapText="1"/>
    </xf>
    <xf numFmtId="0" fontId="2" fillId="65" borderId="0" xfId="0" applyFont="1" applyFill="1" applyAlignment="1">
      <alignment horizontal="center" vertical="top" wrapText="1"/>
    </xf>
    <xf numFmtId="0" fontId="241" fillId="65" borderId="48" xfId="0" applyFont="1" applyFill="1" applyBorder="1" applyAlignment="1">
      <alignment horizontal="center" vertical="top" wrapText="1"/>
    </xf>
    <xf numFmtId="0" fontId="241" fillId="65" borderId="49" xfId="0" applyFont="1" applyFill="1" applyBorder="1" applyAlignment="1">
      <alignment horizontal="center" vertical="top" wrapText="1"/>
    </xf>
    <xf numFmtId="0" fontId="241" fillId="65" borderId="49" xfId="0" applyFont="1" applyFill="1" applyBorder="1" applyAlignment="1">
      <alignment vertical="top" wrapText="1"/>
    </xf>
    <xf numFmtId="0" fontId="2" fillId="65" borderId="49" xfId="0" applyFont="1" applyFill="1" applyBorder="1" applyAlignment="1">
      <alignment horizontal="justify" vertical="top" wrapText="1"/>
    </xf>
    <xf numFmtId="0" fontId="2" fillId="65" borderId="8" xfId="0" applyFont="1" applyFill="1" applyBorder="1" applyAlignment="1">
      <alignment horizontal="justify" vertical="top"/>
    </xf>
    <xf numFmtId="3" fontId="238" fillId="65" borderId="8" xfId="0" applyNumberFormat="1" applyFont="1" applyFill="1" applyBorder="1" applyAlignment="1">
      <alignment horizontal="center" vertical="top" wrapText="1"/>
    </xf>
    <xf numFmtId="167" fontId="69" fillId="0" borderId="8" xfId="1587" quotePrefix="1" applyNumberFormat="1" applyFont="1" applyBorder="1" applyAlignment="1">
      <alignment horizontal="center" vertical="top" wrapText="1"/>
    </xf>
    <xf numFmtId="49" fontId="69" fillId="0" borderId="8" xfId="1587" quotePrefix="1" applyNumberFormat="1" applyFont="1" applyBorder="1" applyAlignment="1">
      <alignment horizontal="center" vertical="top" wrapText="1"/>
    </xf>
    <xf numFmtId="0" fontId="277" fillId="0" borderId="8" xfId="0" applyFont="1" applyBorder="1" applyAlignment="1">
      <alignment horizontal="center" vertical="top" wrapText="1"/>
    </xf>
    <xf numFmtId="0" fontId="270" fillId="0" borderId="8" xfId="0" applyFont="1" applyBorder="1" applyAlignment="1">
      <alignment horizontal="left" vertical="top" wrapText="1"/>
    </xf>
    <xf numFmtId="3" fontId="275" fillId="0" borderId="8" xfId="1587" applyNumberFormat="1" applyFont="1" applyBorder="1" applyAlignment="1">
      <alignment horizontal="center" vertical="top" wrapText="1"/>
    </xf>
    <xf numFmtId="49" fontId="272" fillId="0" borderId="8" xfId="1587" quotePrefix="1" applyNumberFormat="1" applyFont="1" applyBorder="1" applyAlignment="1">
      <alignment horizontal="center" vertical="top" wrapText="1"/>
    </xf>
    <xf numFmtId="3" fontId="270" fillId="0" borderId="8" xfId="1587" quotePrefix="1" applyNumberFormat="1" applyFont="1" applyBorder="1" applyAlignment="1">
      <alignment horizontal="center" vertical="top" wrapText="1"/>
    </xf>
    <xf numFmtId="0" fontId="266" fillId="0" borderId="8" xfId="0" applyFont="1" applyBorder="1" applyAlignment="1">
      <alignment vertical="top"/>
    </xf>
    <xf numFmtId="3" fontId="270" fillId="0" borderId="8" xfId="1587" quotePrefix="1" applyNumberFormat="1" applyFont="1" applyBorder="1" applyAlignment="1">
      <alignment vertical="top" wrapText="1"/>
    </xf>
    <xf numFmtId="175" fontId="270" fillId="0" borderId="8" xfId="847" applyNumberFormat="1" applyFont="1" applyFill="1" applyBorder="1" applyAlignment="1">
      <alignment horizontal="center" vertical="top" wrapText="1"/>
    </xf>
    <xf numFmtId="0" fontId="278" fillId="0" borderId="8" xfId="0" applyFont="1" applyBorder="1"/>
    <xf numFmtId="0" fontId="278" fillId="0" borderId="0" xfId="0" applyFont="1" applyAlignment="1">
      <alignment horizontal="center" vertical="center"/>
    </xf>
    <xf numFmtId="0" fontId="278" fillId="0" borderId="0" xfId="0" applyFont="1"/>
    <xf numFmtId="3" fontId="275" fillId="0" borderId="8" xfId="1587" quotePrefix="1" applyNumberFormat="1" applyFont="1" applyBorder="1" applyAlignment="1">
      <alignment horizontal="center" vertical="top" wrapText="1"/>
    </xf>
    <xf numFmtId="0" fontId="10" fillId="0" borderId="0" xfId="0" applyFont="1" applyAlignment="1">
      <alignment horizontal="left" vertical="center" wrapText="1"/>
    </xf>
    <xf numFmtId="9" fontId="8" fillId="0" borderId="0" xfId="1613" applyFont="1" applyAlignment="1">
      <alignment vertical="top" wrapText="1"/>
    </xf>
    <xf numFmtId="175" fontId="261" fillId="0" borderId="8" xfId="888" applyNumberFormat="1" applyFont="1" applyFill="1" applyBorder="1" applyAlignment="1">
      <alignment horizontal="right" vertical="top" wrapText="1"/>
    </xf>
    <xf numFmtId="0" fontId="261" fillId="0" borderId="0" xfId="0" applyFont="1" applyAlignment="1">
      <alignment vertical="top" wrapText="1"/>
    </xf>
    <xf numFmtId="175" fontId="261" fillId="0" borderId="0" xfId="0" applyNumberFormat="1" applyFont="1" applyAlignment="1">
      <alignment vertical="top" wrapText="1"/>
    </xf>
    <xf numFmtId="173" fontId="2" fillId="0" borderId="8" xfId="847" applyNumberFormat="1" applyFont="1" applyFill="1" applyBorder="1" applyAlignment="1">
      <alignment horizontal="right" vertical="top" wrapText="1"/>
    </xf>
    <xf numFmtId="9" fontId="8" fillId="66" borderId="8" xfId="1613" applyFont="1" applyFill="1" applyBorder="1" applyAlignment="1">
      <alignment horizontal="right" vertical="top" wrapText="1"/>
    </xf>
    <xf numFmtId="175" fontId="226" fillId="66" borderId="8" xfId="1037" applyNumberFormat="1" applyFont="1" applyFill="1" applyBorder="1" applyAlignment="1">
      <alignment horizontal="center" vertical="top" wrapText="1"/>
    </xf>
    <xf numFmtId="0" fontId="259" fillId="67" borderId="8" xfId="0" applyFont="1" applyFill="1" applyBorder="1" applyAlignment="1">
      <alignment horizontal="center" vertical="top" wrapText="1"/>
    </xf>
    <xf numFmtId="0" fontId="259" fillId="67" borderId="8" xfId="0" applyFont="1" applyFill="1" applyBorder="1" applyAlignment="1">
      <alignment horizontal="left" vertical="top" wrapText="1"/>
    </xf>
    <xf numFmtId="175" fontId="259" fillId="67" borderId="8" xfId="888" applyNumberFormat="1" applyFont="1" applyFill="1" applyBorder="1" applyAlignment="1">
      <alignment horizontal="right" vertical="top" wrapText="1"/>
    </xf>
    <xf numFmtId="9" fontId="259" fillId="67" borderId="8" xfId="1613" applyFont="1" applyFill="1" applyBorder="1" applyAlignment="1">
      <alignment horizontal="right" vertical="top" wrapText="1"/>
    </xf>
    <xf numFmtId="175" fontId="261" fillId="67" borderId="8" xfId="1037" applyNumberFormat="1" applyFont="1" applyFill="1" applyBorder="1" applyAlignment="1">
      <alignment horizontal="center" vertical="top" wrapText="1"/>
    </xf>
    <xf numFmtId="0" fontId="261" fillId="67" borderId="8" xfId="0" applyFont="1" applyFill="1" applyBorder="1" applyAlignment="1">
      <alignment horizontal="left" vertical="top" wrapText="1"/>
    </xf>
    <xf numFmtId="175" fontId="261" fillId="67" borderId="8" xfId="888" applyNumberFormat="1" applyFont="1" applyFill="1" applyBorder="1" applyAlignment="1">
      <alignment horizontal="right" vertical="top" wrapText="1"/>
    </xf>
    <xf numFmtId="9" fontId="261" fillId="67" borderId="8" xfId="1613" applyFont="1" applyFill="1" applyBorder="1" applyAlignment="1">
      <alignment horizontal="right" vertical="top" wrapText="1"/>
    </xf>
    <xf numFmtId="0" fontId="8" fillId="66" borderId="8" xfId="0" quotePrefix="1" applyFont="1" applyFill="1" applyBorder="1" applyAlignment="1">
      <alignment horizontal="left" vertical="top" wrapText="1"/>
    </xf>
    <xf numFmtId="175" fontId="8" fillId="66" borderId="8" xfId="1037" applyNumberFormat="1" applyFont="1" applyFill="1" applyBorder="1" applyAlignment="1">
      <alignment horizontal="right" vertical="top" wrapText="1"/>
    </xf>
    <xf numFmtId="175" fontId="8" fillId="66" borderId="8" xfId="1037" applyNumberFormat="1" applyFont="1" applyFill="1" applyBorder="1" applyAlignment="1">
      <alignment horizontal="left" vertical="top" wrapText="1"/>
    </xf>
    <xf numFmtId="175" fontId="259" fillId="67" borderId="8" xfId="1037" applyNumberFormat="1" applyFont="1" applyFill="1" applyBorder="1" applyAlignment="1">
      <alignment horizontal="right" vertical="top" wrapText="1"/>
    </xf>
    <xf numFmtId="0" fontId="259" fillId="0" borderId="8" xfId="0" applyFont="1" applyBorder="1" applyAlignment="1">
      <alignment horizontal="center" vertical="top" wrapText="1"/>
    </xf>
    <xf numFmtId="0" fontId="259" fillId="0" borderId="8" xfId="0" applyFont="1" applyBorder="1" applyAlignment="1">
      <alignment horizontal="left" vertical="top" wrapText="1"/>
    </xf>
    <xf numFmtId="175" fontId="259" fillId="0" borderId="8" xfId="1037" applyNumberFormat="1" applyFont="1" applyFill="1" applyBorder="1" applyAlignment="1">
      <alignment horizontal="right" vertical="top" wrapText="1"/>
    </xf>
    <xf numFmtId="175" fontId="259" fillId="0" borderId="8" xfId="888" applyNumberFormat="1" applyFont="1" applyFill="1" applyBorder="1" applyAlignment="1">
      <alignment horizontal="right" vertical="top" wrapText="1"/>
    </xf>
    <xf numFmtId="9" fontId="259" fillId="0" borderId="8" xfId="1613" applyFont="1" applyFill="1" applyBorder="1" applyAlignment="1">
      <alignment horizontal="right" vertical="top" wrapText="1"/>
    </xf>
    <xf numFmtId="175" fontId="0" fillId="0" borderId="0" xfId="0" applyNumberFormat="1"/>
    <xf numFmtId="9" fontId="8" fillId="0" borderId="20" xfId="1613" applyFont="1" applyFill="1" applyBorder="1" applyAlignment="1">
      <alignment horizontal="right" vertical="top" wrapText="1"/>
    </xf>
    <xf numFmtId="173" fontId="8" fillId="0" borderId="0" xfId="847" applyNumberFormat="1" applyFont="1" applyAlignment="1">
      <alignment horizontal="center" vertical="center" wrapText="1"/>
    </xf>
    <xf numFmtId="173" fontId="8" fillId="0" borderId="0" xfId="0" applyNumberFormat="1" applyFont="1" applyAlignment="1">
      <alignment horizontal="center" vertical="center" wrapText="1"/>
    </xf>
    <xf numFmtId="0" fontId="275" fillId="0" borderId="8" xfId="0" applyFont="1" applyBorder="1" applyAlignment="1">
      <alignment horizontal="center" vertical="top" wrapText="1"/>
    </xf>
    <xf numFmtId="0" fontId="270" fillId="0" borderId="8" xfId="0" applyFont="1" applyBorder="1" applyAlignment="1">
      <alignment horizontal="center" vertical="top" wrapText="1"/>
    </xf>
    <xf numFmtId="0" fontId="272" fillId="0" borderId="8" xfId="0" applyFont="1" applyBorder="1" applyAlignment="1">
      <alignment horizontal="center" vertical="top" wrapText="1"/>
    </xf>
    <xf numFmtId="0" fontId="266" fillId="0" borderId="8" xfId="0" applyFont="1" applyBorder="1" applyAlignment="1">
      <alignment horizontal="right" vertical="top" wrapText="1"/>
    </xf>
    <xf numFmtId="175" fontId="270" fillId="0" borderId="8" xfId="847" applyNumberFormat="1" applyFont="1" applyFill="1" applyBorder="1" applyAlignment="1">
      <alignment horizontal="right" vertical="top" wrapText="1"/>
    </xf>
    <xf numFmtId="175" fontId="270" fillId="0" borderId="8" xfId="847" applyNumberFormat="1" applyFont="1" applyBorder="1" applyAlignment="1">
      <alignment horizontal="right" vertical="top" wrapText="1"/>
    </xf>
    <xf numFmtId="175" fontId="266" fillId="0" borderId="8" xfId="847" applyNumberFormat="1" applyFont="1" applyFill="1" applyBorder="1" applyAlignment="1">
      <alignment horizontal="right" vertical="top" wrapText="1"/>
    </xf>
    <xf numFmtId="174" fontId="279" fillId="0" borderId="8" xfId="0" applyNumberFormat="1" applyFont="1" applyBorder="1" applyAlignment="1">
      <alignment horizontal="center" vertical="top" wrapText="1"/>
    </xf>
    <xf numFmtId="0" fontId="278" fillId="0" borderId="0" xfId="0" applyFont="1" applyAlignment="1">
      <alignment vertical="top"/>
    </xf>
    <xf numFmtId="3" fontId="278" fillId="0" borderId="0" xfId="0" applyNumberFormat="1" applyFont="1" applyAlignment="1">
      <alignment vertical="top"/>
    </xf>
    <xf numFmtId="0" fontId="270" fillId="0" borderId="8" xfId="0" applyFont="1" applyBorder="1" applyAlignment="1">
      <alignment horizontal="right" vertical="top" wrapText="1"/>
    </xf>
    <xf numFmtId="3" fontId="275" fillId="0" borderId="8" xfId="0" applyNumberFormat="1" applyFont="1" applyBorder="1" applyAlignment="1">
      <alignment horizontal="center" vertical="top" wrapText="1"/>
    </xf>
    <xf numFmtId="174" fontId="275" fillId="0" borderId="8" xfId="0" applyNumberFormat="1" applyFont="1" applyBorder="1" applyAlignment="1">
      <alignment horizontal="center" vertical="top" wrapText="1"/>
    </xf>
    <xf numFmtId="175" fontId="9" fillId="68" borderId="8" xfId="847" applyNumberFormat="1" applyFont="1" applyFill="1" applyBorder="1" applyAlignment="1">
      <alignment horizontal="right" vertical="center" wrapText="1"/>
    </xf>
    <xf numFmtId="3" fontId="238" fillId="68" borderId="8" xfId="0" applyNumberFormat="1" applyFont="1" applyFill="1" applyBorder="1" applyAlignment="1">
      <alignment horizontal="center" vertical="center" wrapText="1"/>
    </xf>
    <xf numFmtId="0" fontId="0" fillId="0" borderId="0" xfId="0" applyAlignment="1">
      <alignment vertical="center"/>
    </xf>
    <xf numFmtId="0" fontId="238" fillId="0" borderId="8" xfId="0" applyFont="1" applyBorder="1" applyAlignment="1">
      <alignment horizontal="left" vertical="top" wrapText="1"/>
    </xf>
    <xf numFmtId="0" fontId="280" fillId="65" borderId="8" xfId="0" applyFont="1" applyFill="1" applyBorder="1" applyAlignment="1">
      <alignment horizontal="left" vertical="top" wrapText="1"/>
    </xf>
    <xf numFmtId="0" fontId="270" fillId="0" borderId="8" xfId="0" applyFont="1" applyBorder="1" applyAlignment="1">
      <alignment vertical="top" wrapText="1"/>
    </xf>
    <xf numFmtId="175" fontId="270" fillId="0" borderId="8" xfId="847" applyNumberFormat="1" applyFont="1" applyFill="1" applyBorder="1" applyAlignment="1">
      <alignment vertical="top" wrapText="1"/>
    </xf>
    <xf numFmtId="3" fontId="275" fillId="0" borderId="8" xfId="0" applyNumberFormat="1" applyFont="1" applyBorder="1" applyAlignment="1">
      <alignment horizontal="center" vertical="center" wrapText="1"/>
    </xf>
    <xf numFmtId="0" fontId="272" fillId="0" borderId="8" xfId="0" applyFont="1" applyBorder="1" applyAlignment="1">
      <alignment vertical="top"/>
    </xf>
    <xf numFmtId="3" fontId="270" fillId="0" borderId="8" xfId="0" applyNumberFormat="1" applyFont="1" applyBorder="1" applyAlignment="1">
      <alignment horizontal="right" vertical="top"/>
    </xf>
    <xf numFmtId="175" fontId="270" fillId="0" borderId="8" xfId="847" applyNumberFormat="1" applyFont="1" applyFill="1" applyBorder="1" applyAlignment="1">
      <alignment vertical="top"/>
    </xf>
    <xf numFmtId="0" fontId="275" fillId="0" borderId="8" xfId="0" applyFont="1" applyBorder="1" applyAlignment="1">
      <alignment horizontal="center" vertical="top"/>
    </xf>
    <xf numFmtId="0" fontId="2" fillId="66" borderId="0" xfId="0" applyFont="1" applyFill="1" applyAlignment="1">
      <alignment horizontal="left" vertical="top" wrapText="1"/>
    </xf>
    <xf numFmtId="0" fontId="270" fillId="70" borderId="8" xfId="0" applyFont="1" applyFill="1" applyBorder="1" applyAlignment="1">
      <alignment horizontal="left" vertical="top" wrapText="1"/>
    </xf>
    <xf numFmtId="0" fontId="270" fillId="70" borderId="8" xfId="0" applyFont="1" applyFill="1" applyBorder="1" applyAlignment="1">
      <alignment horizontal="center" vertical="top" wrapText="1"/>
    </xf>
    <xf numFmtId="0" fontId="275" fillId="70" borderId="8" xfId="0" applyFont="1" applyFill="1" applyBorder="1" applyAlignment="1">
      <alignment horizontal="center" vertical="top" wrapText="1"/>
    </xf>
    <xf numFmtId="0" fontId="272" fillId="70" borderId="8" xfId="0" applyFont="1" applyFill="1" applyBorder="1" applyAlignment="1">
      <alignment horizontal="center" vertical="top" wrapText="1"/>
    </xf>
    <xf numFmtId="3" fontId="270" fillId="65" borderId="8" xfId="0" applyNumberFormat="1" applyFont="1" applyFill="1" applyBorder="1" applyAlignment="1">
      <alignment horizontal="right" vertical="top" wrapText="1"/>
    </xf>
    <xf numFmtId="175" fontId="270" fillId="65" borderId="8" xfId="0" applyNumberFormat="1" applyFont="1" applyFill="1" applyBorder="1" applyAlignment="1">
      <alignment horizontal="right" vertical="top" wrapText="1"/>
    </xf>
    <xf numFmtId="49" fontId="275" fillId="70" borderId="8" xfId="0" applyNumberFormat="1" applyFont="1" applyFill="1" applyBorder="1" applyAlignment="1">
      <alignment horizontal="center" vertical="top" wrapText="1"/>
    </xf>
    <xf numFmtId="0" fontId="270" fillId="65" borderId="56" xfId="0" applyFont="1" applyFill="1" applyBorder="1" applyAlignment="1">
      <alignment horizontal="left" vertical="top" wrapText="1"/>
    </xf>
    <xf numFmtId="3" fontId="2" fillId="0" borderId="8" xfId="0" applyNumberFormat="1" applyFont="1" applyBorder="1" applyAlignment="1">
      <alignment horizontal="center" vertical="top" wrapText="1"/>
    </xf>
    <xf numFmtId="3" fontId="2" fillId="0" borderId="8" xfId="1587" quotePrefix="1" applyNumberFormat="1" applyFont="1" applyBorder="1" applyAlignment="1">
      <alignment horizontal="right" vertical="center" wrapText="1"/>
    </xf>
    <xf numFmtId="175" fontId="2" fillId="0" borderId="8" xfId="847" applyNumberFormat="1" applyFont="1" applyFill="1" applyBorder="1" applyAlignment="1">
      <alignment horizontal="right" vertical="center" wrapText="1"/>
    </xf>
    <xf numFmtId="174" fontId="2" fillId="0" borderId="8" xfId="0" applyNumberFormat="1" applyFont="1" applyBorder="1" applyAlignment="1">
      <alignment horizontal="left" vertical="top" wrapText="1"/>
    </xf>
    <xf numFmtId="0" fontId="2" fillId="0" borderId="8" xfId="0" applyFont="1" applyBorder="1" applyAlignment="1">
      <alignment horizontal="left" vertical="center" wrapText="1"/>
    </xf>
    <xf numFmtId="0" fontId="2" fillId="0" borderId="8" xfId="0" applyFont="1" applyBorder="1" applyAlignment="1">
      <alignment horizontal="center" vertical="center" wrapText="1"/>
    </xf>
    <xf numFmtId="0" fontId="2" fillId="0" borderId="8" xfId="0" applyFont="1" applyBorder="1" applyAlignment="1">
      <alignment vertical="center" wrapText="1"/>
    </xf>
    <xf numFmtId="3" fontId="2" fillId="0" borderId="8" xfId="0" applyNumberFormat="1" applyFont="1" applyBorder="1" applyAlignment="1">
      <alignment horizontal="right" vertical="center" wrapText="1"/>
    </xf>
    <xf numFmtId="49" fontId="69" fillId="0" borderId="8" xfId="1045" applyNumberFormat="1" applyFont="1" applyFill="1" applyBorder="1" applyAlignment="1">
      <alignment horizontal="center" vertical="top" wrapText="1"/>
    </xf>
    <xf numFmtId="3" fontId="2" fillId="0" borderId="8" xfId="1587" quotePrefix="1" applyNumberFormat="1" applyFont="1" applyBorder="1" applyAlignment="1">
      <alignment horizontal="right" vertical="top" wrapText="1"/>
    </xf>
    <xf numFmtId="175" fontId="259" fillId="0" borderId="46" xfId="1037" applyNumberFormat="1" applyFont="1" applyFill="1" applyBorder="1" applyAlignment="1">
      <alignment horizontal="right" vertical="top" wrapText="1"/>
    </xf>
    <xf numFmtId="9" fontId="259" fillId="0" borderId="46" xfId="1613" applyFont="1" applyFill="1" applyBorder="1" applyAlignment="1">
      <alignment horizontal="right" vertical="top" wrapText="1"/>
    </xf>
    <xf numFmtId="175" fontId="261" fillId="0" borderId="46" xfId="1037" applyNumberFormat="1" applyFont="1" applyFill="1" applyBorder="1" applyAlignment="1">
      <alignment horizontal="center" vertical="top" wrapText="1"/>
    </xf>
    <xf numFmtId="0" fontId="255" fillId="0" borderId="0" xfId="0" applyFont="1"/>
    <xf numFmtId="0" fontId="256" fillId="0" borderId="0" xfId="0" applyFont="1" applyAlignment="1">
      <alignment horizontal="center" vertical="center"/>
    </xf>
    <xf numFmtId="0" fontId="255" fillId="0" borderId="47" xfId="0" applyFont="1" applyBorder="1"/>
    <xf numFmtId="3" fontId="255" fillId="0" borderId="29" xfId="0" applyNumberFormat="1" applyFont="1" applyBorder="1" applyAlignment="1">
      <alignment horizontal="right" vertical="top" wrapText="1"/>
    </xf>
    <xf numFmtId="3" fontId="255" fillId="0" borderId="29" xfId="0" applyNumberFormat="1" applyFont="1" applyBorder="1" applyAlignment="1">
      <alignment horizontal="left" vertical="top" wrapText="1"/>
    </xf>
    <xf numFmtId="3" fontId="256" fillId="0" borderId="1" xfId="0" applyNumberFormat="1" applyFont="1" applyBorder="1" applyAlignment="1">
      <alignment horizontal="center" vertical="center" wrapText="1"/>
    </xf>
    <xf numFmtId="3" fontId="255" fillId="0" borderId="8" xfId="0" applyNumberFormat="1" applyFont="1" applyBorder="1" applyAlignment="1">
      <alignment horizontal="left" vertical="top" wrapText="1"/>
    </xf>
    <xf numFmtId="0" fontId="255" fillId="0" borderId="47" xfId="0" applyFont="1" applyBorder="1" applyAlignment="1">
      <alignment horizontal="right"/>
    </xf>
    <xf numFmtId="3" fontId="255" fillId="0" borderId="29" xfId="0" applyNumberFormat="1" applyFont="1" applyBorder="1" applyAlignment="1">
      <alignment horizontal="center" vertical="top" wrapText="1"/>
    </xf>
    <xf numFmtId="3" fontId="255" fillId="0" borderId="8" xfId="0" applyNumberFormat="1" applyFont="1" applyBorder="1" applyAlignment="1">
      <alignment horizontal="right" vertical="top" wrapText="1"/>
    </xf>
    <xf numFmtId="3" fontId="255" fillId="0" borderId="8" xfId="0" applyNumberFormat="1" applyFont="1" applyBorder="1" applyAlignment="1">
      <alignment horizontal="center" vertical="top" wrapText="1"/>
    </xf>
    <xf numFmtId="175" fontId="255" fillId="0" borderId="8" xfId="1015" applyNumberFormat="1" applyFont="1" applyFill="1" applyBorder="1" applyAlignment="1">
      <alignment horizontal="center" vertical="top" wrapText="1"/>
    </xf>
    <xf numFmtId="3" fontId="256" fillId="0" borderId="39" xfId="0" applyNumberFormat="1" applyFont="1" applyBorder="1" applyAlignment="1">
      <alignment horizontal="center" vertical="center" wrapText="1"/>
    </xf>
    <xf numFmtId="3" fontId="256" fillId="0" borderId="14" xfId="0" applyNumberFormat="1" applyFont="1" applyBorder="1" applyAlignment="1">
      <alignment horizontal="center" vertical="center" wrapText="1"/>
    </xf>
    <xf numFmtId="3" fontId="256" fillId="0" borderId="14" xfId="0" applyNumberFormat="1" applyFont="1" applyBorder="1" applyAlignment="1">
      <alignment horizontal="right" vertical="center" wrapText="1"/>
    </xf>
    <xf numFmtId="3" fontId="256" fillId="0" borderId="1" xfId="0" applyNumberFormat="1" applyFont="1" applyBorder="1" applyAlignment="1">
      <alignment horizontal="right" vertical="center" wrapText="1"/>
    </xf>
    <xf numFmtId="3" fontId="9" fillId="0" borderId="8" xfId="0" applyNumberFormat="1" applyFont="1" applyBorder="1" applyAlignment="1">
      <alignment horizontal="center" vertical="top" wrapText="1"/>
    </xf>
    <xf numFmtId="3" fontId="2" fillId="0" borderId="8" xfId="0" applyNumberFormat="1" applyFont="1" applyBorder="1" applyAlignment="1">
      <alignment horizontal="right" vertical="top" wrapText="1"/>
    </xf>
    <xf numFmtId="175" fontId="270" fillId="0" borderId="8" xfId="1015" applyNumberFormat="1" applyFont="1" applyFill="1" applyBorder="1" applyAlignment="1">
      <alignment vertical="top" wrapText="1"/>
    </xf>
    <xf numFmtId="0" fontId="225" fillId="0" borderId="8" xfId="0" applyFont="1" applyBorder="1" applyAlignment="1">
      <alignment horizontal="center" vertical="top" wrapText="1"/>
    </xf>
    <xf numFmtId="175" fontId="225" fillId="0" borderId="8" xfId="847" applyNumberFormat="1" applyFont="1" applyFill="1" applyBorder="1" applyAlignment="1">
      <alignment vertical="top" wrapText="1"/>
    </xf>
    <xf numFmtId="3" fontId="225" fillId="0" borderId="8" xfId="0" applyNumberFormat="1" applyFont="1" applyBorder="1" applyAlignment="1">
      <alignment horizontal="center" vertical="top" wrapText="1"/>
    </xf>
    <xf numFmtId="0" fontId="69" fillId="0" borderId="2" xfId="0" applyFont="1" applyBorder="1" applyAlignment="1">
      <alignment horizontal="center" vertical="center" wrapText="1"/>
    </xf>
    <xf numFmtId="0" fontId="69" fillId="0" borderId="50" xfId="0" applyFont="1" applyBorder="1" applyAlignment="1">
      <alignment horizontal="center" vertical="center" wrapText="1"/>
    </xf>
    <xf numFmtId="175" fontId="225" fillId="0" borderId="8" xfId="847" applyNumberFormat="1" applyFont="1" applyFill="1" applyBorder="1" applyAlignment="1">
      <alignment horizontal="right" vertical="top" wrapText="1"/>
    </xf>
    <xf numFmtId="0" fontId="2" fillId="0" borderId="1" xfId="0" applyFont="1" applyBorder="1" applyAlignment="1">
      <alignment horizontal="center" vertical="center" wrapText="1"/>
    </xf>
    <xf numFmtId="0" fontId="238" fillId="0" borderId="1" xfId="0" applyFont="1" applyBorder="1" applyAlignment="1">
      <alignment horizontal="center" vertical="center" wrapText="1"/>
    </xf>
    <xf numFmtId="3" fontId="2" fillId="0" borderId="1" xfId="0" applyNumberFormat="1" applyFont="1" applyBorder="1" applyAlignment="1">
      <alignment horizontal="center" vertical="center" wrapText="1"/>
    </xf>
    <xf numFmtId="0" fontId="256" fillId="69" borderId="8" xfId="0" quotePrefix="1" applyFont="1" applyFill="1" applyBorder="1" applyAlignment="1">
      <alignment horizontal="center" vertical="top"/>
    </xf>
    <xf numFmtId="0" fontId="9" fillId="66" borderId="29" xfId="0" applyFont="1" applyFill="1" applyBorder="1" applyAlignment="1">
      <alignment horizontal="center" vertical="center" wrapText="1"/>
    </xf>
    <xf numFmtId="0" fontId="9" fillId="66" borderId="29" xfId="0" applyFont="1" applyFill="1" applyBorder="1" applyAlignment="1">
      <alignment horizontal="left" vertical="center" wrapText="1"/>
    </xf>
    <xf numFmtId="0" fontId="240" fillId="66" borderId="29" xfId="0" applyFont="1" applyFill="1" applyBorder="1" applyAlignment="1">
      <alignment horizontal="center" vertical="center" wrapText="1"/>
    </xf>
    <xf numFmtId="0" fontId="233" fillId="66" borderId="29" xfId="0" applyFont="1" applyFill="1" applyBorder="1" applyAlignment="1">
      <alignment horizontal="center" vertical="top" wrapText="1"/>
    </xf>
    <xf numFmtId="3" fontId="9" fillId="66" borderId="29" xfId="0" applyNumberFormat="1" applyFont="1" applyFill="1" applyBorder="1" applyAlignment="1">
      <alignment horizontal="right" vertical="center" wrapText="1"/>
    </xf>
    <xf numFmtId="3" fontId="9" fillId="69" borderId="8" xfId="1613" applyNumberFormat="1" applyFont="1" applyFill="1" applyBorder="1" applyAlignment="1">
      <alignment horizontal="right" vertical="top" wrapText="1"/>
    </xf>
    <xf numFmtId="175" fontId="268" fillId="0" borderId="8" xfId="847" applyNumberFormat="1" applyFont="1" applyBorder="1" applyAlignment="1">
      <alignment vertical="center" wrapText="1"/>
    </xf>
    <xf numFmtId="3" fontId="2" fillId="0" borderId="8" xfId="0" applyNumberFormat="1" applyFont="1" applyBorder="1" applyAlignment="1">
      <alignment horizontal="justify" vertical="top" wrapText="1"/>
    </xf>
    <xf numFmtId="0" fontId="2" fillId="0" borderId="8" xfId="0" quotePrefix="1" applyFont="1" applyBorder="1" applyAlignment="1">
      <alignment horizontal="left" vertical="top" wrapText="1"/>
    </xf>
    <xf numFmtId="0" fontId="9" fillId="66" borderId="8" xfId="0" applyFont="1" applyFill="1" applyBorder="1" applyAlignment="1">
      <alignment horizontal="center" vertical="top" wrapText="1"/>
    </xf>
    <xf numFmtId="0" fontId="9" fillId="66" borderId="8" xfId="0" applyFont="1" applyFill="1" applyBorder="1" applyAlignment="1">
      <alignment horizontal="left" vertical="top" wrapText="1"/>
    </xf>
    <xf numFmtId="0" fontId="240" fillId="66" borderId="8" xfId="0" applyFont="1" applyFill="1" applyBorder="1" applyAlignment="1">
      <alignment horizontal="center" vertical="top" wrapText="1"/>
    </xf>
    <xf numFmtId="0" fontId="233" fillId="66" borderId="8" xfId="0" applyFont="1" applyFill="1" applyBorder="1" applyAlignment="1">
      <alignment horizontal="center" vertical="top" wrapText="1"/>
    </xf>
    <xf numFmtId="175" fontId="9" fillId="66" borderId="8" xfId="847" applyNumberFormat="1" applyFont="1" applyFill="1" applyBorder="1" applyAlignment="1">
      <alignment horizontal="right" vertical="top" wrapText="1"/>
    </xf>
    <xf numFmtId="3" fontId="9" fillId="66" borderId="8" xfId="0" applyNumberFormat="1" applyFont="1" applyFill="1" applyBorder="1" applyAlignment="1">
      <alignment horizontal="right" vertical="top" wrapText="1"/>
    </xf>
    <xf numFmtId="330" fontId="2" fillId="65" borderId="8" xfId="847" applyNumberFormat="1" applyFont="1" applyFill="1" applyBorder="1" applyAlignment="1">
      <alignment horizontal="right" vertical="top" wrapText="1"/>
    </xf>
    <xf numFmtId="0" fontId="2" fillId="65" borderId="8" xfId="0" applyFont="1" applyFill="1" applyBorder="1" applyAlignment="1">
      <alignment horizontal="right" vertical="top" wrapText="1"/>
    </xf>
    <xf numFmtId="331" fontId="2" fillId="65" borderId="8" xfId="847" applyNumberFormat="1" applyFont="1" applyFill="1" applyBorder="1" applyAlignment="1">
      <alignment horizontal="right" vertical="top" wrapText="1"/>
    </xf>
    <xf numFmtId="330" fontId="2" fillId="72" borderId="8" xfId="847" applyNumberFormat="1" applyFont="1" applyFill="1" applyBorder="1" applyAlignment="1">
      <alignment horizontal="right" vertical="top" wrapText="1"/>
    </xf>
    <xf numFmtId="0" fontId="2" fillId="72" borderId="8" xfId="0" applyFont="1" applyFill="1" applyBorder="1" applyAlignment="1">
      <alignment horizontal="right" vertical="top" wrapText="1"/>
    </xf>
    <xf numFmtId="330" fontId="9" fillId="65" borderId="8" xfId="847" applyNumberFormat="1" applyFont="1" applyFill="1" applyBorder="1" applyAlignment="1">
      <alignment horizontal="right" vertical="top" wrapText="1"/>
    </xf>
    <xf numFmtId="0" fontId="9" fillId="65" borderId="8" xfId="0" applyFont="1" applyFill="1" applyBorder="1" applyAlignment="1">
      <alignment horizontal="right" vertical="top" wrapText="1"/>
    </xf>
    <xf numFmtId="330" fontId="2" fillId="65" borderId="8" xfId="0" applyNumberFormat="1" applyFont="1" applyFill="1" applyBorder="1" applyAlignment="1">
      <alignment horizontal="right" vertical="top" wrapText="1"/>
    </xf>
    <xf numFmtId="0" fontId="69" fillId="0" borderId="1" xfId="0" applyFont="1" applyBorder="1" applyAlignment="1">
      <alignment horizontal="center" vertical="center" wrapText="1"/>
    </xf>
    <xf numFmtId="0" fontId="233" fillId="66" borderId="29" xfId="0" applyFont="1" applyFill="1" applyBorder="1" applyAlignment="1">
      <alignment horizontal="center" vertical="center" wrapText="1"/>
    </xf>
    <xf numFmtId="329" fontId="69" fillId="0" borderId="8" xfId="0" applyNumberFormat="1" applyFont="1" applyBorder="1" applyAlignment="1">
      <alignment horizontal="center" vertical="top" wrapText="1"/>
    </xf>
    <xf numFmtId="329" fontId="69" fillId="65" borderId="8" xfId="0" applyNumberFormat="1" applyFont="1" applyFill="1" applyBorder="1" applyAlignment="1">
      <alignment horizontal="center" vertical="top" wrapText="1"/>
    </xf>
    <xf numFmtId="329" fontId="272" fillId="65" borderId="8" xfId="0" applyNumberFormat="1" applyFont="1" applyFill="1" applyBorder="1" applyAlignment="1">
      <alignment horizontal="center" vertical="top" wrapText="1"/>
    </xf>
    <xf numFmtId="0" fontId="272" fillId="65" borderId="8" xfId="0" quotePrefix="1" applyFont="1" applyFill="1" applyBorder="1" applyAlignment="1">
      <alignment horizontal="left" vertical="top" wrapText="1"/>
    </xf>
    <xf numFmtId="0" fontId="69" fillId="68" borderId="8" xfId="0" applyFont="1" applyFill="1" applyBorder="1" applyAlignment="1">
      <alignment horizontal="center" vertical="center" wrapText="1"/>
    </xf>
    <xf numFmtId="0" fontId="268" fillId="0" borderId="8" xfId="0" applyFont="1" applyBorder="1" applyAlignment="1">
      <alignment horizontal="center" vertical="top" wrapText="1"/>
    </xf>
    <xf numFmtId="0" fontId="272" fillId="0" borderId="8" xfId="0" quotePrefix="1" applyFont="1" applyBorder="1" applyAlignment="1">
      <alignment horizontal="left" vertical="top" wrapText="1"/>
    </xf>
    <xf numFmtId="1" fontId="69" fillId="0" borderId="8" xfId="1587" quotePrefix="1" applyNumberFormat="1" applyFont="1" applyBorder="1" applyAlignment="1">
      <alignment horizontal="center" vertical="top" wrapText="1"/>
    </xf>
    <xf numFmtId="1" fontId="272" fillId="0" borderId="8" xfId="1587" quotePrefix="1" applyNumberFormat="1" applyFont="1" applyBorder="1" applyAlignment="1">
      <alignment horizontal="center" vertical="top" wrapText="1"/>
    </xf>
    <xf numFmtId="0" fontId="69" fillId="0" borderId="8" xfId="0" applyFont="1" applyBorder="1" applyAlignment="1">
      <alignment horizontal="center" vertical="center" wrapText="1"/>
    </xf>
    <xf numFmtId="0" fontId="276" fillId="0" borderId="47" xfId="0" applyFont="1" applyBorder="1"/>
    <xf numFmtId="3" fontId="238" fillId="0" borderId="8" xfId="1587" quotePrefix="1" applyNumberFormat="1" applyFont="1" applyBorder="1" applyAlignment="1">
      <alignment horizontal="center" vertical="center" wrapText="1"/>
    </xf>
    <xf numFmtId="0" fontId="238" fillId="0" borderId="8" xfId="0" applyFont="1" applyBorder="1" applyAlignment="1">
      <alignment horizontal="center" vertical="center" wrapText="1"/>
    </xf>
    <xf numFmtId="0" fontId="238" fillId="0" borderId="8" xfId="0" applyFont="1" applyBorder="1" applyAlignment="1">
      <alignment horizontal="left" vertical="center" wrapText="1"/>
    </xf>
    <xf numFmtId="0" fontId="239" fillId="0" borderId="8" xfId="0" applyFont="1" applyBorder="1" applyAlignment="1">
      <alignment horizontal="center" vertical="top" wrapText="1"/>
    </xf>
    <xf numFmtId="175" fontId="9" fillId="0" borderId="1" xfId="0" applyNumberFormat="1" applyFont="1" applyBorder="1" applyAlignment="1">
      <alignment horizontal="right" vertical="center" wrapText="1"/>
    </xf>
    <xf numFmtId="175" fontId="9" fillId="66" borderId="29" xfId="847" applyNumberFormat="1" applyFont="1" applyFill="1" applyBorder="1" applyAlignment="1">
      <alignment horizontal="right" vertical="center" wrapText="1"/>
    </xf>
    <xf numFmtId="175" fontId="9" fillId="0" borderId="14" xfId="0" applyNumberFormat="1" applyFont="1" applyBorder="1" applyAlignment="1">
      <alignment horizontal="right" vertical="center" wrapText="1"/>
    </xf>
    <xf numFmtId="175" fontId="2" fillId="66" borderId="8" xfId="0" applyNumberFormat="1" applyFont="1" applyFill="1" applyBorder="1" applyAlignment="1">
      <alignment horizontal="right" vertical="top" wrapText="1"/>
    </xf>
    <xf numFmtId="3" fontId="2" fillId="66" borderId="8" xfId="0" applyNumberFormat="1" applyFont="1" applyFill="1" applyBorder="1" applyAlignment="1">
      <alignment horizontal="right" vertical="top" wrapText="1"/>
    </xf>
    <xf numFmtId="175" fontId="270" fillId="66" borderId="8" xfId="0" applyNumberFormat="1" applyFont="1" applyFill="1" applyBorder="1" applyAlignment="1">
      <alignment horizontal="right" vertical="top" wrapText="1"/>
    </xf>
    <xf numFmtId="0" fontId="270" fillId="65" borderId="8" xfId="0" applyFont="1" applyFill="1" applyBorder="1" applyAlignment="1">
      <alignment horizontal="center" vertical="top" wrapText="1"/>
    </xf>
    <xf numFmtId="0" fontId="272" fillId="65" borderId="8" xfId="0" applyFont="1" applyFill="1" applyBorder="1" applyAlignment="1">
      <alignment horizontal="center" vertical="top" wrapText="1"/>
    </xf>
    <xf numFmtId="0" fontId="270" fillId="65" borderId="8" xfId="0" applyFont="1" applyFill="1" applyBorder="1" applyAlignment="1">
      <alignment horizontal="left" vertical="top" wrapText="1"/>
    </xf>
    <xf numFmtId="175" fontId="270" fillId="65" borderId="8" xfId="0" applyNumberFormat="1" applyFont="1" applyFill="1" applyBorder="1" applyAlignment="1">
      <alignment horizontal="left" vertical="top" wrapText="1"/>
    </xf>
    <xf numFmtId="175" fontId="275" fillId="65" borderId="8" xfId="0" applyNumberFormat="1" applyFont="1" applyFill="1" applyBorder="1" applyAlignment="1">
      <alignment horizontal="center" vertical="top" wrapText="1"/>
    </xf>
    <xf numFmtId="9" fontId="245" fillId="0" borderId="0" xfId="1613" applyFont="1"/>
    <xf numFmtId="0" fontId="238" fillId="0" borderId="8" xfId="0" quotePrefix="1" applyFont="1" applyBorder="1" applyAlignment="1">
      <alignment horizontal="left" vertical="top" wrapText="1"/>
    </xf>
    <xf numFmtId="0" fontId="281" fillId="69" borderId="8" xfId="0" applyFont="1" applyFill="1" applyBorder="1" applyAlignment="1">
      <alignment vertical="top"/>
    </xf>
    <xf numFmtId="0" fontId="282" fillId="65" borderId="48" xfId="0" applyFont="1" applyFill="1" applyBorder="1" applyAlignment="1">
      <alignment horizontal="center" vertical="top" wrapText="1"/>
    </xf>
    <xf numFmtId="175" fontId="270" fillId="0" borderId="8" xfId="0" applyNumberFormat="1" applyFont="1" applyBorder="1" applyAlignment="1">
      <alignment horizontal="right" vertical="top" wrapText="1"/>
    </xf>
    <xf numFmtId="0" fontId="272" fillId="0" borderId="1" xfId="0" applyFont="1" applyBorder="1" applyAlignment="1">
      <alignment horizontal="center" vertical="top" wrapText="1"/>
    </xf>
    <xf numFmtId="0" fontId="275" fillId="0" borderId="8" xfId="0" applyFont="1" applyBorder="1" applyAlignment="1">
      <alignment horizontal="left" vertical="top" wrapText="1"/>
    </xf>
    <xf numFmtId="175" fontId="156" fillId="0" borderId="0" xfId="0" applyNumberFormat="1" applyFont="1" applyAlignment="1">
      <alignment horizontal="center" vertical="center" wrapText="1"/>
    </xf>
    <xf numFmtId="1" fontId="255" fillId="0" borderId="8" xfId="0" quotePrefix="1" applyNumberFormat="1" applyFont="1" applyBorder="1" applyAlignment="1">
      <alignment horizontal="left" vertical="top" wrapText="1"/>
    </xf>
    <xf numFmtId="329" fontId="268" fillId="0" borderId="8" xfId="0" applyNumberFormat="1" applyFont="1" applyBorder="1" applyAlignment="1">
      <alignment horizontal="center" vertical="top" wrapText="1"/>
    </xf>
    <xf numFmtId="175" fontId="255" fillId="0" borderId="8" xfId="0" applyNumberFormat="1" applyFont="1" applyBorder="1" applyAlignment="1">
      <alignment horizontal="right" vertical="top" wrapText="1"/>
    </xf>
    <xf numFmtId="0" fontId="255" fillId="65" borderId="8" xfId="0" applyFont="1" applyFill="1" applyBorder="1" applyAlignment="1">
      <alignment horizontal="left" vertical="top" wrapText="1"/>
    </xf>
    <xf numFmtId="0" fontId="268" fillId="65" borderId="8" xfId="0" quotePrefix="1" applyFont="1" applyFill="1" applyBorder="1" applyAlignment="1">
      <alignment horizontal="left" vertical="top" wrapText="1"/>
    </xf>
    <xf numFmtId="0" fontId="255" fillId="65" borderId="8" xfId="0" applyFont="1" applyFill="1" applyBorder="1" applyAlignment="1">
      <alignment horizontal="center" vertical="top" wrapText="1"/>
    </xf>
    <xf numFmtId="329" fontId="269" fillId="65" borderId="8" xfId="0" applyNumberFormat="1" applyFont="1" applyFill="1" applyBorder="1" applyAlignment="1">
      <alignment horizontal="center" vertical="top" wrapText="1"/>
    </xf>
    <xf numFmtId="3" fontId="269" fillId="65" borderId="8" xfId="0" applyNumberFormat="1" applyFont="1" applyFill="1" applyBorder="1" applyAlignment="1">
      <alignment horizontal="center" vertical="top" wrapText="1"/>
    </xf>
    <xf numFmtId="0" fontId="268" fillId="65" borderId="8" xfId="0" applyFont="1" applyFill="1" applyBorder="1" applyAlignment="1">
      <alignment horizontal="center" vertical="top" wrapText="1"/>
    </xf>
    <xf numFmtId="330" fontId="255" fillId="65" borderId="8" xfId="847" applyNumberFormat="1" applyFont="1" applyFill="1" applyBorder="1" applyAlignment="1">
      <alignment horizontal="right" vertical="top" wrapText="1"/>
    </xf>
    <xf numFmtId="0" fontId="255" fillId="65" borderId="8" xfId="0" applyFont="1" applyFill="1" applyBorder="1" applyAlignment="1">
      <alignment horizontal="right" vertical="top" wrapText="1"/>
    </xf>
    <xf numFmtId="9" fontId="10" fillId="0" borderId="0" xfId="1613" applyFont="1" applyAlignment="1">
      <alignment horizontal="center" vertical="center" wrapText="1"/>
    </xf>
    <xf numFmtId="9" fontId="245" fillId="0" borderId="0" xfId="1613" applyFont="1" applyFill="1" applyAlignment="1">
      <alignment vertical="top"/>
    </xf>
    <xf numFmtId="9" fontId="278" fillId="0" borderId="0" xfId="1613" applyFont="1" applyAlignment="1">
      <alignment vertical="top"/>
    </xf>
    <xf numFmtId="0" fontId="69" fillId="0" borderId="8" xfId="0" quotePrefix="1" applyFont="1" applyBorder="1" applyAlignment="1">
      <alignment horizontal="left" vertical="top" wrapText="1"/>
    </xf>
    <xf numFmtId="3" fontId="255" fillId="0" borderId="8" xfId="0" applyNumberFormat="1" applyFont="1" applyBorder="1" applyAlignment="1">
      <alignment vertical="top"/>
    </xf>
    <xf numFmtId="3" fontId="270" fillId="0" borderId="8" xfId="0" applyNumberFormat="1" applyFont="1" applyBorder="1" applyAlignment="1">
      <alignment vertical="top"/>
    </xf>
    <xf numFmtId="9" fontId="245" fillId="0" borderId="0" xfId="1613" applyFont="1" applyAlignment="1">
      <alignment vertical="top"/>
    </xf>
    <xf numFmtId="49" fontId="238" fillId="70" borderId="8" xfId="0" applyNumberFormat="1" applyFont="1" applyFill="1" applyBorder="1" applyAlignment="1">
      <alignment horizontal="left" vertical="top" wrapText="1"/>
    </xf>
    <xf numFmtId="0" fontId="275" fillId="0" borderId="8" xfId="0" applyFont="1" applyBorder="1" applyAlignment="1">
      <alignment horizontal="left" vertical="top"/>
    </xf>
    <xf numFmtId="0" fontId="2" fillId="73" borderId="56" xfId="0" applyFont="1" applyFill="1" applyBorder="1" applyAlignment="1">
      <alignment horizontal="left" vertical="top" wrapText="1"/>
    </xf>
    <xf numFmtId="175" fontId="275" fillId="65" borderId="8" xfId="0" applyNumberFormat="1" applyFont="1" applyFill="1" applyBorder="1" applyAlignment="1">
      <alignment horizontal="left" vertical="top" wrapText="1"/>
    </xf>
    <xf numFmtId="175" fontId="268" fillId="0" borderId="8" xfId="847" applyNumberFormat="1" applyFont="1" applyBorder="1" applyAlignment="1">
      <alignment vertical="top" wrapText="1"/>
    </xf>
    <xf numFmtId="175" fontId="255" fillId="0" borderId="8" xfId="847" applyNumberFormat="1" applyFont="1" applyBorder="1" applyAlignment="1">
      <alignment horizontal="right" vertical="top" wrapText="1"/>
    </xf>
    <xf numFmtId="0" fontId="256" fillId="0" borderId="8" xfId="0" applyFont="1" applyBorder="1" applyAlignment="1">
      <alignment horizontal="right" vertical="top" wrapText="1"/>
    </xf>
    <xf numFmtId="175" fontId="255" fillId="0" borderId="8" xfId="847" applyNumberFormat="1" applyFont="1" applyFill="1" applyBorder="1" applyAlignment="1">
      <alignment horizontal="right" vertical="top" wrapText="1"/>
    </xf>
    <xf numFmtId="175" fontId="256" fillId="0" borderId="8" xfId="847" applyNumberFormat="1" applyFont="1" applyFill="1" applyBorder="1" applyAlignment="1">
      <alignment horizontal="right" vertical="top" wrapText="1"/>
    </xf>
    <xf numFmtId="174" fontId="283" fillId="0" borderId="8" xfId="0" applyNumberFormat="1" applyFont="1" applyBorder="1" applyAlignment="1">
      <alignment horizontal="center" vertical="top" wrapText="1"/>
    </xf>
    <xf numFmtId="3" fontId="256" fillId="0" borderId="8" xfId="0" applyNumberFormat="1" applyFont="1" applyBorder="1" applyAlignment="1">
      <alignment horizontal="right" vertical="top" wrapText="1"/>
    </xf>
    <xf numFmtId="0" fontId="255" fillId="0" borderId="8" xfId="0" applyFont="1" applyBorder="1" applyAlignment="1">
      <alignment horizontal="right" vertical="top" wrapText="1"/>
    </xf>
    <xf numFmtId="3" fontId="269" fillId="0" borderId="8" xfId="0" applyNumberFormat="1" applyFont="1" applyBorder="1" applyAlignment="1">
      <alignment horizontal="center" vertical="top" wrapText="1"/>
    </xf>
    <xf numFmtId="0" fontId="238" fillId="70" borderId="8" xfId="0" applyFont="1" applyFill="1" applyBorder="1" applyAlignment="1">
      <alignment horizontal="left" vertical="top" wrapText="1"/>
    </xf>
    <xf numFmtId="175" fontId="238" fillId="65" borderId="8" xfId="0" applyNumberFormat="1" applyFont="1" applyFill="1" applyBorder="1" applyAlignment="1">
      <alignment horizontal="left" vertical="top" wrapText="1"/>
    </xf>
    <xf numFmtId="173" fontId="8" fillId="0" borderId="0" xfId="847" applyNumberFormat="1" applyFont="1" applyAlignment="1">
      <alignment vertical="top" wrapText="1"/>
    </xf>
    <xf numFmtId="177" fontId="8" fillId="0" borderId="0" xfId="1613" applyNumberFormat="1" applyFont="1" applyAlignment="1">
      <alignment vertical="top" wrapText="1"/>
    </xf>
    <xf numFmtId="0" fontId="269" fillId="0" borderId="8" xfId="0" applyFont="1" applyBorder="1" applyAlignment="1">
      <alignment horizontal="left" vertical="top" wrapText="1"/>
    </xf>
    <xf numFmtId="49" fontId="275" fillId="70" borderId="8" xfId="0" applyNumberFormat="1" applyFont="1" applyFill="1" applyBorder="1" applyAlignment="1">
      <alignment horizontal="left" vertical="top" wrapText="1"/>
    </xf>
    <xf numFmtId="3" fontId="240" fillId="68" borderId="8" xfId="1613" applyNumberFormat="1" applyFont="1" applyFill="1" applyBorder="1" applyAlignment="1">
      <alignment horizontal="left" vertical="top" wrapText="1"/>
    </xf>
    <xf numFmtId="49" fontId="269" fillId="70" borderId="8" xfId="0" applyNumberFormat="1" applyFont="1" applyFill="1" applyBorder="1" applyAlignment="1">
      <alignment horizontal="left" vertical="top" wrapText="1"/>
    </xf>
    <xf numFmtId="0" fontId="274" fillId="69" borderId="8" xfId="0" applyFont="1" applyFill="1" applyBorder="1" applyAlignment="1">
      <alignment horizontal="left" vertical="top"/>
    </xf>
    <xf numFmtId="174" fontId="269" fillId="0" borderId="8" xfId="0" applyNumberFormat="1" applyFont="1" applyBorder="1" applyAlignment="1">
      <alignment horizontal="left" vertical="top" wrapText="1"/>
    </xf>
    <xf numFmtId="174" fontId="283" fillId="0" borderId="8" xfId="0" applyNumberFormat="1" applyFont="1" applyBorder="1" applyAlignment="1">
      <alignment horizontal="left" vertical="top" wrapText="1"/>
    </xf>
    <xf numFmtId="3" fontId="283" fillId="0" borderId="8" xfId="0" applyNumberFormat="1" applyFont="1" applyBorder="1" applyAlignment="1">
      <alignment horizontal="left" vertical="top" wrapText="1"/>
    </xf>
    <xf numFmtId="9" fontId="69" fillId="0" borderId="8" xfId="1613" applyFont="1" applyFill="1" applyBorder="1" applyAlignment="1">
      <alignment horizontal="left" vertical="top" wrapText="1"/>
    </xf>
    <xf numFmtId="9" fontId="233" fillId="0" borderId="8" xfId="1613" applyFont="1" applyFill="1" applyBorder="1" applyAlignment="1">
      <alignment horizontal="right" vertical="top" wrapText="1"/>
    </xf>
    <xf numFmtId="0" fontId="62" fillId="0" borderId="8" xfId="0" applyFont="1" applyBorder="1" applyAlignment="1">
      <alignment horizontal="center" vertical="top" wrapText="1"/>
    </xf>
    <xf numFmtId="0" fontId="9" fillId="0" borderId="14" xfId="0" applyFont="1" applyBorder="1" applyAlignment="1">
      <alignment horizontal="center" vertical="center" wrapText="1"/>
    </xf>
    <xf numFmtId="0" fontId="9" fillId="0" borderId="1" xfId="0" applyFont="1" applyBorder="1" applyAlignment="1">
      <alignment vertical="center" wrapText="1"/>
    </xf>
    <xf numFmtId="329" fontId="69" fillId="65" borderId="8" xfId="0" applyNumberFormat="1" applyFont="1" applyFill="1" applyBorder="1" applyAlignment="1">
      <alignment horizontal="left" vertical="top" wrapText="1"/>
    </xf>
    <xf numFmtId="175" fontId="69" fillId="0" borderId="8" xfId="0" applyNumberFormat="1" applyFont="1" applyBorder="1" applyAlignment="1">
      <alignment horizontal="left" vertical="top" wrapText="1"/>
    </xf>
    <xf numFmtId="175" fontId="69" fillId="65" borderId="8" xfId="0" applyNumberFormat="1" applyFont="1" applyFill="1" applyBorder="1" applyAlignment="1">
      <alignment horizontal="left" vertical="top" wrapText="1"/>
    </xf>
    <xf numFmtId="0" fontId="270" fillId="65" borderId="8" xfId="0" applyFont="1" applyFill="1" applyBorder="1" applyAlignment="1">
      <alignment horizontal="justify" vertical="top" wrapText="1"/>
    </xf>
    <xf numFmtId="0" fontId="3" fillId="0" borderId="0" xfId="0" applyFont="1" applyAlignment="1">
      <alignment horizontal="center"/>
    </xf>
    <xf numFmtId="0" fontId="4" fillId="0" borderId="0" xfId="0" applyFont="1"/>
    <xf numFmtId="0" fontId="3" fillId="0" borderId="0" xfId="0" applyFont="1"/>
    <xf numFmtId="173" fontId="3" fillId="0" borderId="0" xfId="847" applyNumberFormat="1" applyFont="1" applyAlignment="1">
      <alignment horizontal="right" vertical="center"/>
    </xf>
    <xf numFmtId="173" fontId="3" fillId="0" borderId="0" xfId="0" applyNumberFormat="1" applyFont="1" applyAlignment="1">
      <alignment horizontal="right"/>
    </xf>
    <xf numFmtId="173" fontId="4" fillId="0" borderId="0" xfId="0" applyNumberFormat="1" applyFont="1" applyAlignment="1">
      <alignment horizontal="right"/>
    </xf>
    <xf numFmtId="0" fontId="4" fillId="0" borderId="0" xfId="0" applyFont="1" applyAlignment="1">
      <alignment vertical="center"/>
    </xf>
    <xf numFmtId="175" fontId="3" fillId="0" borderId="0" xfId="0" applyNumberFormat="1" applyFont="1" applyAlignment="1">
      <alignment vertical="center"/>
    </xf>
    <xf numFmtId="175" fontId="4" fillId="0" borderId="0" xfId="0" applyNumberFormat="1" applyFont="1" applyAlignment="1">
      <alignment vertical="center"/>
    </xf>
    <xf numFmtId="173" fontId="4" fillId="0" borderId="0" xfId="0" applyNumberFormat="1" applyFont="1" applyAlignment="1">
      <alignment vertical="center"/>
    </xf>
    <xf numFmtId="0" fontId="232" fillId="0" borderId="0" xfId="0" applyFont="1" applyAlignment="1">
      <alignment horizontal="center"/>
    </xf>
    <xf numFmtId="0" fontId="158" fillId="0" borderId="0" xfId="0" applyFont="1"/>
    <xf numFmtId="175" fontId="8" fillId="0" borderId="0" xfId="0" applyNumberFormat="1" applyFont="1"/>
    <xf numFmtId="175" fontId="158" fillId="0" borderId="0" xfId="0" applyNumberFormat="1" applyFont="1"/>
    <xf numFmtId="173" fontId="158" fillId="0" borderId="0" xfId="0" applyNumberFormat="1" applyFont="1"/>
    <xf numFmtId="0" fontId="6" fillId="0" borderId="0" xfId="0" applyFont="1" applyAlignment="1">
      <alignment horizontal="center"/>
    </xf>
    <xf numFmtId="0" fontId="10" fillId="0" borderId="0" xfId="0" applyFont="1"/>
    <xf numFmtId="175" fontId="10" fillId="0" borderId="0" xfId="0" applyNumberFormat="1" applyFont="1"/>
    <xf numFmtId="0" fontId="69" fillId="0" borderId="0" xfId="0" applyFont="1"/>
    <xf numFmtId="0" fontId="7" fillId="0" borderId="1" xfId="0" applyFont="1" applyBorder="1" applyAlignment="1">
      <alignment horizontal="center" vertical="center" wrapText="1"/>
    </xf>
    <xf numFmtId="0" fontId="8" fillId="0" borderId="0" xfId="0" applyFont="1"/>
    <xf numFmtId="0" fontId="7" fillId="0" borderId="14" xfId="0" applyFont="1" applyBorder="1" applyAlignment="1">
      <alignment horizontal="center" vertical="center" wrapText="1"/>
    </xf>
    <xf numFmtId="0" fontId="7" fillId="74" borderId="1" xfId="0" applyFont="1" applyFill="1" applyBorder="1" applyAlignment="1">
      <alignment horizontal="center" vertical="center" wrapText="1"/>
    </xf>
    <xf numFmtId="173" fontId="8" fillId="0" borderId="0" xfId="847" applyNumberFormat="1" applyFont="1" applyAlignment="1">
      <alignment vertical="center"/>
    </xf>
    <xf numFmtId="173" fontId="8" fillId="0" borderId="0" xfId="847" applyNumberFormat="1" applyFont="1"/>
    <xf numFmtId="173" fontId="8" fillId="0" borderId="0" xfId="0" applyNumberFormat="1" applyFont="1"/>
    <xf numFmtId="0" fontId="7" fillId="74" borderId="14" xfId="0" applyFont="1" applyFill="1" applyBorder="1" applyAlignment="1">
      <alignment horizontal="center" vertical="center" wrapText="1"/>
    </xf>
    <xf numFmtId="0" fontId="7" fillId="0" borderId="29" xfId="0" applyFont="1" applyBorder="1" applyAlignment="1">
      <alignment horizontal="center" vertical="center" wrapText="1"/>
    </xf>
    <xf numFmtId="0" fontId="265" fillId="0" borderId="29" xfId="0" applyFont="1" applyBorder="1" applyAlignment="1">
      <alignment horizontal="center" vertical="center" wrapText="1"/>
    </xf>
    <xf numFmtId="177" fontId="265" fillId="0" borderId="29" xfId="0" applyNumberFormat="1" applyFont="1" applyBorder="1" applyAlignment="1">
      <alignment horizontal="center" vertical="center" wrapText="1"/>
    </xf>
    <xf numFmtId="175" fontId="265" fillId="0" borderId="29" xfId="0" applyNumberFormat="1" applyFont="1" applyBorder="1" applyAlignment="1">
      <alignment horizontal="center" vertical="center" wrapText="1"/>
    </xf>
    <xf numFmtId="175" fontId="265" fillId="74" borderId="29" xfId="0" applyNumberFormat="1" applyFont="1" applyFill="1" applyBorder="1" applyAlignment="1">
      <alignment horizontal="center" vertical="center" wrapText="1"/>
    </xf>
    <xf numFmtId="1" fontId="265" fillId="0" borderId="29" xfId="0" applyNumberFormat="1" applyFont="1" applyBorder="1" applyAlignment="1">
      <alignment horizontal="center" vertical="center" wrapText="1"/>
    </xf>
    <xf numFmtId="177" fontId="8" fillId="0" borderId="0" xfId="1613" applyNumberFormat="1" applyFont="1"/>
    <xf numFmtId="175" fontId="9" fillId="0" borderId="29" xfId="0" applyNumberFormat="1" applyFont="1" applyBorder="1" applyAlignment="1">
      <alignment horizontal="center" vertical="center" wrapText="1"/>
    </xf>
    <xf numFmtId="0" fontId="284" fillId="0" borderId="8" xfId="0" applyFont="1" applyBorder="1" applyAlignment="1">
      <alignment horizontal="center" vertical="top"/>
    </xf>
    <xf numFmtId="0" fontId="254" fillId="0" borderId="8" xfId="0" applyFont="1" applyBorder="1" applyAlignment="1">
      <alignment wrapText="1"/>
    </xf>
    <xf numFmtId="177" fontId="254" fillId="0" borderId="8" xfId="1613" applyNumberFormat="1" applyFont="1" applyBorder="1" applyAlignment="1">
      <alignment horizontal="center" vertical="center" wrapText="1"/>
    </xf>
    <xf numFmtId="175" fontId="285" fillId="0" borderId="8" xfId="847" applyNumberFormat="1" applyFont="1" applyFill="1" applyBorder="1"/>
    <xf numFmtId="175" fontId="285" fillId="74" borderId="8" xfId="847" applyNumberFormat="1" applyFont="1" applyFill="1" applyBorder="1"/>
    <xf numFmtId="3" fontId="265" fillId="0" borderId="8" xfId="0" applyNumberFormat="1" applyFont="1" applyBorder="1"/>
    <xf numFmtId="332" fontId="261" fillId="0" borderId="0" xfId="0" applyNumberFormat="1" applyFont="1"/>
    <xf numFmtId="173" fontId="261" fillId="0" borderId="0" xfId="847" applyNumberFormat="1" applyFont="1"/>
    <xf numFmtId="175" fontId="286" fillId="0" borderId="8" xfId="847" applyNumberFormat="1" applyFont="1" applyFill="1" applyBorder="1"/>
    <xf numFmtId="0" fontId="261" fillId="0" borderId="0" xfId="0" applyFont="1"/>
    <xf numFmtId="175" fontId="261" fillId="0" borderId="0" xfId="0" applyNumberFormat="1" applyFont="1"/>
    <xf numFmtId="3" fontId="254" fillId="0" borderId="8" xfId="0" applyNumberFormat="1" applyFont="1" applyBorder="1"/>
    <xf numFmtId="0" fontId="156" fillId="0" borderId="47" xfId="0" applyFont="1" applyBorder="1"/>
    <xf numFmtId="0" fontId="265" fillId="0" borderId="47" xfId="0" applyFont="1" applyBorder="1"/>
    <xf numFmtId="0" fontId="265" fillId="0" borderId="47" xfId="0" applyFont="1" applyBorder="1" applyAlignment="1">
      <alignment vertical="center"/>
    </xf>
    <xf numFmtId="171" fontId="285" fillId="0" borderId="47" xfId="847" applyFont="1" applyFill="1" applyBorder="1"/>
    <xf numFmtId="171" fontId="285" fillId="74" borderId="47" xfId="847" applyFont="1" applyFill="1" applyBorder="1"/>
    <xf numFmtId="3" fontId="265" fillId="0" borderId="47" xfId="0" applyNumberFormat="1" applyFont="1" applyBorder="1"/>
    <xf numFmtId="333" fontId="10" fillId="0" borderId="0" xfId="0" applyNumberFormat="1" applyFont="1"/>
    <xf numFmtId="171" fontId="225" fillId="0" borderId="47" xfId="847" applyFont="1" applyFill="1" applyBorder="1"/>
    <xf numFmtId="332" fontId="10" fillId="0" borderId="0" xfId="0" applyNumberFormat="1" applyFont="1"/>
    <xf numFmtId="0" fontId="156" fillId="0" borderId="0" xfId="0" applyFont="1"/>
    <xf numFmtId="3" fontId="7" fillId="0" borderId="51" xfId="0" applyNumberFormat="1" applyFont="1" applyBorder="1"/>
    <xf numFmtId="0" fontId="2" fillId="0" borderId="0" xfId="0" applyFont="1"/>
    <xf numFmtId="0" fontId="233" fillId="0" borderId="0" xfId="0" applyFont="1"/>
    <xf numFmtId="3" fontId="287" fillId="0" borderId="0" xfId="0" applyNumberFormat="1" applyFont="1"/>
    <xf numFmtId="171" fontId="261" fillId="0" borderId="0" xfId="847" applyFont="1"/>
    <xf numFmtId="0" fontId="7" fillId="0" borderId="0" xfId="0" applyFont="1" applyAlignment="1">
      <alignment horizontal="center" vertical="top" wrapText="1"/>
    </xf>
    <xf numFmtId="0" fontId="7" fillId="0" borderId="0" xfId="0" applyFont="1" applyAlignment="1">
      <alignment horizontal="center" vertical="top"/>
    </xf>
    <xf numFmtId="328" fontId="232" fillId="0" borderId="0" xfId="0" applyNumberFormat="1" applyFont="1" applyAlignment="1">
      <alignment horizontal="center" vertical="top"/>
    </xf>
    <xf numFmtId="175" fontId="270" fillId="65" borderId="56" xfId="0" applyNumberFormat="1" applyFont="1" applyFill="1" applyBorder="1" applyAlignment="1">
      <alignment horizontal="left" vertical="top" wrapText="1"/>
    </xf>
    <xf numFmtId="178" fontId="10" fillId="0" borderId="0" xfId="0" applyNumberFormat="1" applyFont="1" applyAlignment="1">
      <alignment vertical="top" wrapText="1"/>
    </xf>
    <xf numFmtId="9" fontId="11" fillId="0" borderId="0" xfId="1613" applyFont="1" applyAlignment="1">
      <alignment vertical="top" wrapText="1"/>
    </xf>
    <xf numFmtId="0" fontId="225" fillId="0" borderId="0" xfId="0" applyFont="1" applyAlignment="1">
      <alignment horizontal="right" vertical="center"/>
    </xf>
    <xf numFmtId="174" fontId="9"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3" fontId="69" fillId="0" borderId="8" xfId="0" applyNumberFormat="1" applyFont="1" applyBorder="1" applyAlignment="1">
      <alignment horizontal="center" vertical="top" wrapText="1"/>
    </xf>
    <xf numFmtId="3" fontId="9" fillId="0" borderId="0" xfId="0" applyNumberFormat="1" applyFont="1" applyAlignment="1">
      <alignment horizontal="center" vertical="center" wrapText="1"/>
    </xf>
    <xf numFmtId="171" fontId="245" fillId="0" borderId="0" xfId="847" applyFont="1" applyAlignment="1">
      <alignment vertical="top"/>
    </xf>
    <xf numFmtId="3" fontId="2" fillId="66" borderId="0" xfId="0" applyNumberFormat="1" applyFont="1" applyFill="1" applyAlignment="1">
      <alignment horizontal="center" vertical="center" wrapText="1"/>
    </xf>
    <xf numFmtId="0" fontId="288" fillId="0" borderId="8" xfId="0" applyFont="1" applyBorder="1" applyAlignment="1">
      <alignment horizontal="center" vertical="top" wrapText="1"/>
    </xf>
    <xf numFmtId="0" fontId="268" fillId="0" borderId="8" xfId="0" quotePrefix="1" applyFont="1" applyBorder="1" applyAlignment="1">
      <alignment horizontal="left" vertical="top" wrapText="1"/>
    </xf>
    <xf numFmtId="0" fontId="268" fillId="0" borderId="8" xfId="0" applyFont="1" applyBorder="1" applyAlignment="1">
      <alignment vertical="top"/>
    </xf>
    <xf numFmtId="175" fontId="255" fillId="0" borderId="8" xfId="847" applyNumberFormat="1" applyFont="1" applyFill="1" applyBorder="1" applyAlignment="1">
      <alignment vertical="top"/>
    </xf>
    <xf numFmtId="0" fontId="268" fillId="0" borderId="8" xfId="0" applyFont="1" applyBorder="1" applyAlignment="1">
      <alignment horizontal="left" vertical="top" wrapText="1"/>
    </xf>
    <xf numFmtId="3" fontId="289" fillId="0" borderId="0" xfId="0" applyNumberFormat="1" applyFont="1"/>
    <xf numFmtId="173" fontId="255" fillId="0" borderId="0" xfId="847" applyNumberFormat="1" applyFont="1"/>
    <xf numFmtId="173" fontId="0" fillId="0" borderId="0" xfId="0" applyNumberFormat="1"/>
    <xf numFmtId="3" fontId="254" fillId="0" borderId="0" xfId="0" applyNumberFormat="1" applyFont="1"/>
    <xf numFmtId="177" fontId="158" fillId="0" borderId="0" xfId="1613" applyNumberFormat="1" applyFont="1" applyAlignment="1">
      <alignment vertical="top" wrapText="1"/>
    </xf>
    <xf numFmtId="3" fontId="2" fillId="0" borderId="20" xfId="0" applyNumberFormat="1" applyFont="1" applyBorder="1" applyAlignment="1">
      <alignment horizontal="left" vertical="center" wrapText="1"/>
    </xf>
    <xf numFmtId="0" fontId="255" fillId="65" borderId="0" xfId="0" applyFont="1" applyFill="1"/>
    <xf numFmtId="0" fontId="256" fillId="65" borderId="0" xfId="0" applyFont="1" applyFill="1"/>
    <xf numFmtId="176" fontId="256" fillId="65" borderId="8" xfId="1441" applyNumberFormat="1" applyFont="1" applyFill="1" applyBorder="1" applyAlignment="1">
      <alignment horizontal="center" vertical="center" wrapText="1"/>
    </xf>
    <xf numFmtId="173" fontId="256" fillId="65" borderId="0" xfId="0" applyNumberFormat="1" applyFont="1" applyFill="1"/>
    <xf numFmtId="0" fontId="256" fillId="65" borderId="8" xfId="0" applyFont="1" applyFill="1" applyBorder="1" applyAlignment="1">
      <alignment horizontal="left" vertical="top" wrapText="1"/>
    </xf>
    <xf numFmtId="0" fontId="256" fillId="65" borderId="8" xfId="0" applyFont="1" applyFill="1" applyBorder="1" applyAlignment="1">
      <alignment horizontal="center" vertical="top" wrapText="1"/>
    </xf>
    <xf numFmtId="1" fontId="256" fillId="65" borderId="8" xfId="0" applyNumberFormat="1" applyFont="1" applyFill="1" applyBorder="1" applyAlignment="1">
      <alignment horizontal="center" vertical="top" wrapText="1"/>
    </xf>
    <xf numFmtId="49" fontId="256" fillId="65" borderId="8" xfId="0" applyNumberFormat="1" applyFont="1" applyFill="1" applyBorder="1" applyAlignment="1">
      <alignment horizontal="center" vertical="top" wrapText="1"/>
    </xf>
    <xf numFmtId="173" fontId="256" fillId="65" borderId="8" xfId="886" applyNumberFormat="1" applyFont="1" applyFill="1" applyBorder="1" applyAlignment="1">
      <alignment horizontal="right" vertical="top" wrapText="1"/>
    </xf>
    <xf numFmtId="49" fontId="255" fillId="65" borderId="8" xfId="0" applyNumberFormat="1" applyFont="1" applyFill="1" applyBorder="1" applyAlignment="1">
      <alignment horizontal="center" vertical="top" wrapText="1"/>
    </xf>
    <xf numFmtId="2" fontId="255" fillId="65" borderId="0" xfId="0" applyNumberFormat="1" applyFont="1" applyFill="1" applyAlignment="1">
      <alignment vertical="top" wrapText="1"/>
    </xf>
    <xf numFmtId="2" fontId="256" fillId="65" borderId="0" xfId="0" applyNumberFormat="1" applyFont="1" applyFill="1" applyAlignment="1">
      <alignment vertical="top" wrapText="1"/>
    </xf>
    <xf numFmtId="0" fontId="255" fillId="65" borderId="47" xfId="0" applyFont="1" applyFill="1" applyBorder="1"/>
    <xf numFmtId="173" fontId="255" fillId="65" borderId="47" xfId="0" applyNumberFormat="1" applyFont="1" applyFill="1" applyBorder="1"/>
    <xf numFmtId="0" fontId="290" fillId="65" borderId="0" xfId="0" applyFont="1" applyFill="1"/>
    <xf numFmtId="0" fontId="291" fillId="65" borderId="0" xfId="0" applyFont="1" applyFill="1"/>
    <xf numFmtId="173" fontId="256" fillId="65" borderId="0" xfId="0" applyNumberFormat="1" applyFont="1" applyFill="1" applyAlignment="1">
      <alignment vertical="top"/>
    </xf>
    <xf numFmtId="173" fontId="255" fillId="65" borderId="8" xfId="0" applyNumberFormat="1" applyFont="1" applyFill="1" applyBorder="1" applyAlignment="1">
      <alignment horizontal="right" vertical="top" wrapText="1"/>
    </xf>
    <xf numFmtId="173" fontId="255" fillId="65" borderId="8" xfId="0" applyNumberFormat="1" applyFont="1" applyFill="1" applyBorder="1" applyAlignment="1">
      <alignment horizontal="center" vertical="top" wrapText="1"/>
    </xf>
    <xf numFmtId="0" fontId="254" fillId="65" borderId="0" xfId="0" applyFont="1" applyFill="1"/>
    <xf numFmtId="0" fontId="257" fillId="65" borderId="0" xfId="0" applyFont="1" applyFill="1" applyAlignment="1">
      <alignment horizontal="center"/>
    </xf>
    <xf numFmtId="0" fontId="257" fillId="65" borderId="0" xfId="0" applyFont="1" applyFill="1"/>
    <xf numFmtId="0" fontId="254" fillId="65" borderId="0" xfId="0" applyFont="1" applyFill="1" applyAlignment="1">
      <alignment horizontal="center"/>
    </xf>
    <xf numFmtId="173" fontId="256" fillId="65" borderId="8" xfId="0" applyNumberFormat="1" applyFont="1" applyFill="1" applyBorder="1" applyAlignment="1">
      <alignment horizontal="center" vertical="center" wrapText="1"/>
    </xf>
    <xf numFmtId="0" fontId="255" fillId="65" borderId="47" xfId="0" applyFont="1" applyFill="1" applyBorder="1" applyAlignment="1">
      <alignment horizontal="center"/>
    </xf>
    <xf numFmtId="173" fontId="255" fillId="0" borderId="8" xfId="0" applyNumberFormat="1" applyFont="1" applyBorder="1" applyAlignment="1">
      <alignment horizontal="right" vertical="top" wrapText="1"/>
    </xf>
    <xf numFmtId="0" fontId="256" fillId="65" borderId="8" xfId="0" applyFont="1" applyFill="1" applyBorder="1" applyAlignment="1">
      <alignment horizontal="center" vertical="center" wrapText="1"/>
    </xf>
    <xf numFmtId="173" fontId="256" fillId="65" borderId="8" xfId="886" applyNumberFormat="1" applyFont="1" applyFill="1" applyBorder="1" applyAlignment="1">
      <alignment horizontal="right" vertical="center" wrapText="1"/>
    </xf>
    <xf numFmtId="0" fontId="256" fillId="65" borderId="8" xfId="0" applyFont="1" applyFill="1" applyBorder="1" applyAlignment="1">
      <alignment horizontal="right" vertical="center" wrapText="1"/>
    </xf>
    <xf numFmtId="1" fontId="256" fillId="65" borderId="8" xfId="0" applyNumberFormat="1" applyFont="1" applyFill="1" applyBorder="1" applyAlignment="1">
      <alignment horizontal="right" vertical="center" wrapText="1"/>
    </xf>
    <xf numFmtId="49" fontId="256" fillId="65" borderId="8" xfId="0" applyNumberFormat="1" applyFont="1" applyFill="1" applyBorder="1" applyAlignment="1">
      <alignment horizontal="right" vertical="center" wrapText="1"/>
    </xf>
    <xf numFmtId="173" fontId="256" fillId="65" borderId="8" xfId="0" applyNumberFormat="1" applyFont="1" applyFill="1" applyBorder="1" applyAlignment="1">
      <alignment horizontal="right" vertical="center" wrapText="1"/>
    </xf>
    <xf numFmtId="173" fontId="256" fillId="65" borderId="0" xfId="0" applyNumberFormat="1" applyFont="1" applyFill="1" applyAlignment="1">
      <alignment horizontal="right" vertical="center"/>
    </xf>
    <xf numFmtId="0" fontId="256" fillId="65" borderId="0" xfId="0" applyFont="1" applyFill="1" applyAlignment="1">
      <alignment horizontal="right" vertical="center"/>
    </xf>
    <xf numFmtId="2" fontId="256" fillId="65" borderId="0" xfId="0" applyNumberFormat="1" applyFont="1" applyFill="1" applyAlignment="1">
      <alignment horizontal="right" vertical="center" wrapText="1"/>
    </xf>
    <xf numFmtId="173" fontId="10" fillId="0" borderId="0" xfId="847" applyNumberFormat="1" applyFont="1" applyAlignment="1">
      <alignment vertical="top" wrapText="1"/>
    </xf>
    <xf numFmtId="173" fontId="268" fillId="65" borderId="8" xfId="0" applyNumberFormat="1" applyFont="1" applyFill="1" applyBorder="1" applyAlignment="1">
      <alignment horizontal="left" vertical="top" wrapText="1"/>
    </xf>
    <xf numFmtId="173" fontId="256" fillId="65" borderId="8" xfId="0" applyNumberFormat="1" applyFont="1" applyFill="1" applyBorder="1" applyAlignment="1">
      <alignment horizontal="right" vertical="top" wrapText="1"/>
    </xf>
    <xf numFmtId="329" fontId="268" fillId="65" borderId="8" xfId="0" applyNumberFormat="1" applyFont="1" applyFill="1" applyBorder="1" applyAlignment="1">
      <alignment horizontal="center" vertical="top" wrapText="1"/>
    </xf>
    <xf numFmtId="1" fontId="268" fillId="0" borderId="8" xfId="1587" quotePrefix="1" applyNumberFormat="1" applyFont="1" applyBorder="1" applyAlignment="1">
      <alignment horizontal="center" vertical="top" wrapText="1"/>
    </xf>
    <xf numFmtId="1" fontId="255" fillId="0" borderId="8" xfId="1587" applyNumberFormat="1" applyFont="1" applyBorder="1" applyAlignment="1">
      <alignment horizontal="center" vertical="top" wrapText="1"/>
    </xf>
    <xf numFmtId="3" fontId="269" fillId="0" borderId="8" xfId="1587" quotePrefix="1" applyNumberFormat="1" applyFont="1" applyBorder="1" applyAlignment="1">
      <alignment horizontal="center" vertical="top" wrapText="1"/>
    </xf>
    <xf numFmtId="3" fontId="269" fillId="0" borderId="8" xfId="1587" applyNumberFormat="1" applyFont="1" applyBorder="1" applyAlignment="1">
      <alignment horizontal="center" vertical="top" wrapText="1"/>
    </xf>
    <xf numFmtId="49" fontId="268" fillId="0" borderId="8" xfId="1587" quotePrefix="1" applyNumberFormat="1" applyFont="1" applyBorder="1" applyAlignment="1">
      <alignment horizontal="center" vertical="top" wrapText="1"/>
    </xf>
    <xf numFmtId="3" fontId="255" fillId="0" borderId="8" xfId="1587" quotePrefix="1" applyNumberFormat="1" applyFont="1" applyBorder="1" applyAlignment="1">
      <alignment horizontal="center" vertical="top" wrapText="1"/>
    </xf>
    <xf numFmtId="3" fontId="255" fillId="0" borderId="8" xfId="1587" quotePrefix="1" applyNumberFormat="1" applyFont="1" applyBorder="1" applyAlignment="1">
      <alignment vertical="top" wrapText="1"/>
    </xf>
    <xf numFmtId="0" fontId="256" fillId="0" borderId="8" xfId="0" applyFont="1" applyBorder="1" applyAlignment="1">
      <alignment vertical="top"/>
    </xf>
    <xf numFmtId="0" fontId="0" fillId="0" borderId="0" xfId="0" applyAlignment="1">
      <alignment horizontal="center" vertical="center"/>
    </xf>
    <xf numFmtId="0" fontId="268" fillId="0" borderId="2" xfId="0" applyFont="1" applyBorder="1" applyAlignment="1">
      <alignment horizontal="center" vertical="center" wrapText="1"/>
    </xf>
    <xf numFmtId="3" fontId="69" fillId="68" borderId="8" xfId="0" applyNumberFormat="1" applyFont="1" applyFill="1" applyBorder="1" applyAlignment="1">
      <alignment horizontal="center" vertical="top" wrapText="1"/>
    </xf>
    <xf numFmtId="0" fontId="69" fillId="0" borderId="8" xfId="0" applyFont="1" applyBorder="1" applyAlignment="1">
      <alignment horizontal="center" vertical="top"/>
    </xf>
    <xf numFmtId="49" fontId="69" fillId="70" borderId="8" xfId="0" applyNumberFormat="1" applyFont="1" applyFill="1" applyBorder="1" applyAlignment="1">
      <alignment horizontal="center" vertical="top" wrapText="1"/>
    </xf>
    <xf numFmtId="0" fontId="256" fillId="65" borderId="46" xfId="0" applyFont="1" applyFill="1" applyBorder="1" applyAlignment="1">
      <alignment horizontal="center" vertical="top" wrapText="1"/>
    </xf>
    <xf numFmtId="0" fontId="256" fillId="65" borderId="46" xfId="0" applyFont="1" applyFill="1" applyBorder="1" applyAlignment="1">
      <alignment horizontal="left" vertical="top" wrapText="1"/>
    </xf>
    <xf numFmtId="1" fontId="256" fillId="65" borderId="46" xfId="0" applyNumberFormat="1" applyFont="1" applyFill="1" applyBorder="1" applyAlignment="1">
      <alignment horizontal="center" vertical="top" wrapText="1"/>
    </xf>
    <xf numFmtId="49" fontId="256" fillId="65" borderId="46" xfId="0" applyNumberFormat="1" applyFont="1" applyFill="1" applyBorder="1" applyAlignment="1">
      <alignment horizontal="center" vertical="top" wrapText="1"/>
    </xf>
    <xf numFmtId="173" fontId="256" fillId="65" borderId="46" xfId="886" applyNumberFormat="1" applyFont="1" applyFill="1" applyBorder="1" applyAlignment="1">
      <alignment horizontal="right" vertical="top" wrapText="1"/>
    </xf>
    <xf numFmtId="173" fontId="255" fillId="65" borderId="46" xfId="0" applyNumberFormat="1" applyFont="1" applyFill="1" applyBorder="1" applyAlignment="1">
      <alignment horizontal="right" vertical="top" wrapText="1"/>
    </xf>
    <xf numFmtId="173" fontId="256" fillId="65" borderId="46" xfId="0" applyNumberFormat="1" applyFont="1" applyFill="1" applyBorder="1" applyAlignment="1">
      <alignment horizontal="right" vertical="top" wrapText="1"/>
    </xf>
    <xf numFmtId="173" fontId="256" fillId="65" borderId="46" xfId="0" applyNumberFormat="1" applyFont="1" applyFill="1" applyBorder="1" applyAlignment="1">
      <alignment horizontal="center" vertical="center" wrapText="1"/>
    </xf>
    <xf numFmtId="0" fontId="255" fillId="65" borderId="46" xfId="0" applyFont="1" applyFill="1" applyBorder="1" applyAlignment="1">
      <alignment horizontal="center" vertical="top" wrapText="1"/>
    </xf>
    <xf numFmtId="175" fontId="9" fillId="0" borderId="29" xfId="1015" applyNumberFormat="1" applyFont="1" applyFill="1" applyBorder="1" applyAlignment="1">
      <alignment horizontal="right" vertical="center" wrapText="1"/>
    </xf>
    <xf numFmtId="0" fontId="9" fillId="0" borderId="39" xfId="0" applyFont="1" applyBorder="1" applyAlignment="1">
      <alignment horizontal="center" vertical="center" wrapText="1"/>
    </xf>
    <xf numFmtId="0" fontId="9" fillId="0" borderId="8" xfId="0" applyFont="1" applyBorder="1" applyAlignment="1">
      <alignment horizontal="left" vertical="top" wrapText="1"/>
    </xf>
    <xf numFmtId="0" fontId="290" fillId="0" borderId="0" xfId="0" applyFont="1" applyAlignment="1">
      <alignment vertical="center"/>
    </xf>
    <xf numFmtId="0" fontId="265" fillId="0" borderId="0" xfId="0" applyFont="1" applyAlignment="1">
      <alignment horizontal="center" vertical="center"/>
    </xf>
    <xf numFmtId="173" fontId="290" fillId="0" borderId="0" xfId="1015" applyNumberFormat="1" applyFont="1" applyFill="1" applyAlignment="1">
      <alignment vertical="center"/>
    </xf>
    <xf numFmtId="175" fontId="290" fillId="0" borderId="0" xfId="0" applyNumberFormat="1" applyFont="1" applyAlignment="1">
      <alignment vertical="center"/>
    </xf>
    <xf numFmtId="0" fontId="292" fillId="0" borderId="0" xfId="0" applyFont="1" applyAlignment="1">
      <alignment horizontal="center" vertical="center"/>
    </xf>
    <xf numFmtId="0" fontId="291" fillId="0" borderId="0" xfId="0" applyFont="1" applyAlignment="1">
      <alignment horizontal="center" vertical="center"/>
    </xf>
    <xf numFmtId="0" fontId="255" fillId="0" borderId="0" xfId="0" applyFont="1" applyAlignment="1">
      <alignment vertical="top"/>
    </xf>
    <xf numFmtId="173" fontId="256" fillId="0" borderId="0" xfId="847" applyNumberFormat="1" applyFont="1" applyFill="1" applyAlignment="1">
      <alignment vertical="top"/>
    </xf>
    <xf numFmtId="3" fontId="258" fillId="0" borderId="0" xfId="0" applyNumberFormat="1" applyFont="1"/>
    <xf numFmtId="174" fontId="9" fillId="0" borderId="14" xfId="0" applyNumberFormat="1" applyFont="1" applyBorder="1" applyAlignment="1">
      <alignment horizontal="center" vertical="center" wrapText="1"/>
    </xf>
    <xf numFmtId="175" fontId="255" fillId="0" borderId="0" xfId="0" applyNumberFormat="1" applyFont="1" applyAlignment="1">
      <alignment vertical="top"/>
    </xf>
    <xf numFmtId="177" fontId="255" fillId="0" borderId="0" xfId="1613" applyNumberFormat="1" applyFont="1" applyFill="1" applyAlignment="1">
      <alignment vertical="center"/>
    </xf>
    <xf numFmtId="4" fontId="254" fillId="0" borderId="0" xfId="0" applyNumberFormat="1" applyFont="1"/>
    <xf numFmtId="9" fontId="255" fillId="0" borderId="0" xfId="0" applyNumberFormat="1" applyFont="1" applyAlignment="1">
      <alignment horizontal="center" vertical="center"/>
    </xf>
    <xf numFmtId="175" fontId="255" fillId="0" borderId="0" xfId="0" applyNumberFormat="1" applyFont="1" applyAlignment="1">
      <alignment horizontal="left" vertical="top"/>
    </xf>
    <xf numFmtId="175" fontId="255" fillId="0" borderId="0" xfId="0" applyNumberFormat="1" applyFont="1" applyAlignment="1">
      <alignment horizontal="center" vertical="top"/>
    </xf>
    <xf numFmtId="171" fontId="255" fillId="0" borderId="0" xfId="847" applyFont="1" applyFill="1" applyAlignment="1">
      <alignment horizontal="center" vertical="center"/>
    </xf>
    <xf numFmtId="0" fontId="255" fillId="0" borderId="1" xfId="0" applyFont="1" applyBorder="1" applyAlignment="1">
      <alignment horizontal="center" vertical="center"/>
    </xf>
    <xf numFmtId="0" fontId="255" fillId="0" borderId="0" xfId="0" applyFont="1" applyAlignment="1">
      <alignment horizontal="center" vertical="center" wrapText="1"/>
    </xf>
    <xf numFmtId="173" fontId="255" fillId="0" borderId="0" xfId="847" applyNumberFormat="1" applyFont="1" applyFill="1" applyAlignment="1">
      <alignment horizontal="center" vertical="center"/>
    </xf>
    <xf numFmtId="0" fontId="267" fillId="0" borderId="39" xfId="0" applyFont="1" applyBorder="1" applyAlignment="1">
      <alignment horizontal="center" vertical="top" wrapText="1"/>
    </xf>
    <xf numFmtId="3" fontId="267" fillId="0" borderId="0" xfId="0" applyNumberFormat="1" applyFont="1" applyAlignment="1">
      <alignment vertical="center"/>
    </xf>
    <xf numFmtId="0" fontId="267" fillId="0" borderId="0" xfId="0" applyFont="1" applyAlignment="1">
      <alignment vertical="center"/>
    </xf>
    <xf numFmtId="175" fontId="267" fillId="0" borderId="0" xfId="0" applyNumberFormat="1" applyFont="1" applyAlignment="1">
      <alignment vertical="center"/>
    </xf>
    <xf numFmtId="173" fontId="267" fillId="0" borderId="0" xfId="847" applyNumberFormat="1" applyFont="1" applyFill="1" applyAlignment="1">
      <alignment vertical="center"/>
    </xf>
    <xf numFmtId="0" fontId="256" fillId="0" borderId="8" xfId="0" applyFont="1" applyBorder="1" applyAlignment="1">
      <alignment horizontal="center" vertical="top" wrapText="1"/>
    </xf>
    <xf numFmtId="175" fontId="9" fillId="0" borderId="8" xfId="1015" applyNumberFormat="1" applyFont="1" applyFill="1" applyBorder="1" applyAlignment="1">
      <alignment horizontal="right" vertical="center" wrapText="1"/>
    </xf>
    <xf numFmtId="175" fontId="9" fillId="0" borderId="8" xfId="1015" applyNumberFormat="1" applyFont="1" applyFill="1" applyBorder="1" applyAlignment="1">
      <alignment horizontal="right" vertical="top" wrapText="1"/>
    </xf>
    <xf numFmtId="175" fontId="9" fillId="0" borderId="8" xfId="1015" applyNumberFormat="1" applyFont="1" applyFill="1" applyBorder="1" applyAlignment="1">
      <alignment horizontal="center" vertical="center" wrapText="1"/>
    </xf>
    <xf numFmtId="0" fontId="227" fillId="0" borderId="8" xfId="0" applyFont="1" applyBorder="1" applyAlignment="1">
      <alignment horizontal="left" vertical="top" wrapText="1"/>
    </xf>
    <xf numFmtId="9" fontId="267" fillId="0" borderId="0" xfId="1613" applyFont="1" applyFill="1" applyAlignment="1">
      <alignment horizontal="right" vertical="center"/>
    </xf>
    <xf numFmtId="175" fontId="233" fillId="0" borderId="8" xfId="1015" applyNumberFormat="1" applyFont="1" applyFill="1" applyBorder="1" applyAlignment="1">
      <alignment horizontal="right" vertical="center" wrapText="1"/>
    </xf>
    <xf numFmtId="175" fontId="293" fillId="0" borderId="8" xfId="1015" applyNumberFormat="1" applyFont="1" applyFill="1" applyBorder="1" applyAlignment="1">
      <alignment horizontal="right" vertical="center" wrapText="1"/>
    </xf>
    <xf numFmtId="175" fontId="256" fillId="0" borderId="8" xfId="1015" applyNumberFormat="1" applyFont="1" applyFill="1" applyBorder="1" applyAlignment="1">
      <alignment horizontal="right" vertical="center" wrapText="1"/>
    </xf>
    <xf numFmtId="175" fontId="256" fillId="0" borderId="20" xfId="1015" applyNumberFormat="1" applyFont="1" applyFill="1" applyBorder="1" applyAlignment="1">
      <alignment horizontal="right" vertical="top" wrapText="1"/>
    </xf>
    <xf numFmtId="175" fontId="9" fillId="0" borderId="20" xfId="1015" applyNumberFormat="1" applyFont="1" applyFill="1" applyBorder="1" applyAlignment="1">
      <alignment horizontal="right" vertical="top" wrapText="1"/>
    </xf>
    <xf numFmtId="0" fontId="255" fillId="0" borderId="47" xfId="0" applyFont="1" applyBorder="1" applyAlignment="1">
      <alignment vertical="center"/>
    </xf>
    <xf numFmtId="0" fontId="268" fillId="0" borderId="47" xfId="0" applyFont="1" applyBorder="1" applyAlignment="1">
      <alignment vertical="center"/>
    </xf>
    <xf numFmtId="0" fontId="271" fillId="0" borderId="47" xfId="0" applyFont="1" applyBorder="1" applyAlignment="1">
      <alignment vertical="center"/>
    </xf>
    <xf numFmtId="0" fontId="256" fillId="0" borderId="0" xfId="0" applyFont="1" applyAlignment="1">
      <alignment vertical="center"/>
    </xf>
    <xf numFmtId="0" fontId="9" fillId="0" borderId="0" xfId="0" applyFont="1" applyAlignment="1">
      <alignment horizontal="left" vertical="center" wrapText="1"/>
    </xf>
    <xf numFmtId="173" fontId="256" fillId="0" borderId="0" xfId="1015" applyNumberFormat="1" applyFont="1" applyFill="1" applyBorder="1" applyAlignment="1">
      <alignment vertical="center"/>
    </xf>
    <xf numFmtId="173" fontId="294" fillId="0" borderId="0" xfId="1015" applyNumberFormat="1" applyFont="1" applyFill="1" applyBorder="1" applyAlignment="1">
      <alignment vertical="center"/>
    </xf>
    <xf numFmtId="173" fontId="256" fillId="0" borderId="0" xfId="1015" applyNumberFormat="1" applyFont="1" applyFill="1" applyBorder="1" applyAlignment="1">
      <alignment horizontal="center" vertical="center"/>
    </xf>
    <xf numFmtId="173" fontId="255" fillId="0" borderId="0" xfId="1015" applyNumberFormat="1" applyFont="1" applyFill="1" applyBorder="1" applyAlignment="1">
      <alignment horizontal="center" vertical="top"/>
    </xf>
    <xf numFmtId="173" fontId="255" fillId="0" borderId="0" xfId="0" applyNumberFormat="1" applyFont="1" applyAlignment="1">
      <alignment vertical="top"/>
    </xf>
    <xf numFmtId="175" fontId="286" fillId="0" borderId="0" xfId="0" applyNumberFormat="1" applyFont="1" applyAlignment="1">
      <alignment vertical="center"/>
    </xf>
    <xf numFmtId="0" fontId="286" fillId="0" borderId="0" xfId="0" applyFont="1" applyAlignment="1">
      <alignment vertical="center"/>
    </xf>
    <xf numFmtId="0" fontId="11" fillId="0" borderId="0" xfId="0" applyFont="1" applyAlignment="1">
      <alignment horizontal="center" vertical="center"/>
    </xf>
    <xf numFmtId="3" fontId="11" fillId="0" borderId="0" xfId="0" applyNumberFormat="1" applyFont="1" applyAlignment="1">
      <alignment horizontal="center" vertical="top"/>
    </xf>
    <xf numFmtId="0" fontId="11" fillId="0" borderId="0" xfId="0" applyFont="1" applyAlignment="1">
      <alignment horizontal="center" vertical="top"/>
    </xf>
    <xf numFmtId="3" fontId="11" fillId="0" borderId="6" xfId="0" applyNumberFormat="1" applyFont="1" applyBorder="1" applyAlignment="1">
      <alignment horizontal="center" vertical="top"/>
    </xf>
    <xf numFmtId="0" fontId="11" fillId="0" borderId="6" xfId="0" applyFont="1" applyBorder="1" applyAlignment="1">
      <alignment horizontal="right" vertical="center"/>
    </xf>
    <xf numFmtId="0" fontId="10" fillId="0" borderId="1" xfId="0" applyFont="1" applyBorder="1" applyAlignment="1">
      <alignment horizontal="center" vertical="center" wrapText="1"/>
    </xf>
    <xf numFmtId="175" fontId="8" fillId="0" borderId="1" xfId="0" applyNumberFormat="1" applyFont="1" applyBorder="1" applyAlignment="1">
      <alignment horizontal="right" vertical="center" wrapText="1"/>
    </xf>
    <xf numFmtId="3" fontId="10" fillId="0" borderId="1" xfId="0" applyNumberFormat="1" applyFont="1" applyBorder="1" applyAlignment="1">
      <alignment horizontal="center" vertical="center" wrapText="1"/>
    </xf>
    <xf numFmtId="0" fontId="8" fillId="0" borderId="1" xfId="0" quotePrefix="1" applyFont="1" applyBorder="1" applyAlignment="1">
      <alignment horizontal="center" vertical="center" wrapText="1"/>
    </xf>
    <xf numFmtId="0" fontId="8" fillId="0" borderId="1" xfId="0" applyFont="1" applyBorder="1" applyAlignment="1">
      <alignment horizontal="left" vertical="center" wrapText="1"/>
    </xf>
    <xf numFmtId="1" fontId="10" fillId="0" borderId="1" xfId="1587" applyNumberFormat="1" applyFont="1" applyBorder="1" applyAlignment="1">
      <alignment vertical="center" wrapText="1"/>
    </xf>
    <xf numFmtId="329" fontId="10" fillId="0" borderId="1" xfId="0" applyNumberFormat="1" applyFont="1" applyBorder="1" applyAlignment="1">
      <alignment horizontal="center" vertical="center" wrapText="1"/>
    </xf>
    <xf numFmtId="0" fontId="10" fillId="0" borderId="0" xfId="0" applyFont="1" applyAlignment="1">
      <alignment vertical="top"/>
    </xf>
    <xf numFmtId="0" fontId="10" fillId="0" borderId="0" xfId="0" applyFont="1" applyAlignment="1">
      <alignment horizontal="center" vertical="center"/>
    </xf>
    <xf numFmtId="1" fontId="10" fillId="0" borderId="1" xfId="1587" applyNumberFormat="1" applyFont="1" applyBorder="1" applyAlignment="1">
      <alignment horizontal="center" vertical="center" wrapText="1"/>
    </xf>
    <xf numFmtId="175" fontId="10" fillId="0" borderId="0" xfId="0" applyNumberFormat="1" applyFont="1" applyAlignment="1">
      <alignment vertical="top"/>
    </xf>
    <xf numFmtId="0" fontId="256" fillId="0" borderId="1" xfId="0" applyFont="1" applyBorder="1" applyAlignment="1">
      <alignment horizontal="center" vertical="center" wrapText="1"/>
    </xf>
    <xf numFmtId="0" fontId="1" fillId="0" borderId="0" xfId="0" applyFont="1" applyAlignment="1">
      <alignment horizontal="right" vertical="top"/>
    </xf>
    <xf numFmtId="0" fontId="3" fillId="0" borderId="0" xfId="0" applyFont="1" applyAlignment="1">
      <alignment horizontal="center" vertical="top" wrapText="1"/>
    </xf>
    <xf numFmtId="0" fontId="3" fillId="0" borderId="0" xfId="0" applyFont="1" applyAlignment="1">
      <alignment horizontal="center" vertical="center"/>
    </xf>
    <xf numFmtId="0" fontId="5" fillId="0" borderId="0" xfId="0" applyFont="1" applyAlignment="1">
      <alignment horizontal="center" vertical="center"/>
    </xf>
    <xf numFmtId="0" fontId="263" fillId="0" borderId="6" xfId="0" applyFont="1" applyBorder="1" applyAlignment="1">
      <alignment horizontal="right" vertical="center"/>
    </xf>
    <xf numFmtId="0" fontId="8" fillId="0" borderId="39"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 xfId="0" applyFont="1" applyBorder="1" applyAlignment="1">
      <alignment horizontal="center" vertical="center" wrapText="1"/>
    </xf>
    <xf numFmtId="174" fontId="8" fillId="0" borderId="39" xfId="0" applyNumberFormat="1" applyFont="1" applyBorder="1" applyAlignment="1">
      <alignment horizontal="center" vertical="center" wrapText="1"/>
    </xf>
    <xf numFmtId="174" fontId="8" fillId="0" borderId="14" xfId="0" applyNumberFormat="1" applyFont="1" applyBorder="1" applyAlignment="1">
      <alignment horizontal="center" vertical="center" wrapText="1"/>
    </xf>
    <xf numFmtId="174" fontId="8" fillId="0" borderId="10" xfId="0" applyNumberFormat="1" applyFont="1" applyBorder="1" applyAlignment="1">
      <alignment horizontal="center" vertical="center" wrapText="1"/>
    </xf>
    <xf numFmtId="174" fontId="9" fillId="0" borderId="39" xfId="0" applyNumberFormat="1" applyFont="1" applyBorder="1" applyAlignment="1">
      <alignment horizontal="center" vertical="center" wrapText="1"/>
    </xf>
    <xf numFmtId="174" fontId="9" fillId="0" borderId="14" xfId="0" applyNumberFormat="1" applyFont="1" applyBorder="1" applyAlignment="1">
      <alignment horizontal="center" vertical="center" wrapText="1"/>
    </xf>
    <xf numFmtId="174" fontId="9" fillId="0" borderId="10" xfId="0" applyNumberFormat="1" applyFont="1" applyBorder="1" applyAlignment="1">
      <alignment horizontal="center" vertical="center" wrapText="1"/>
    </xf>
    <xf numFmtId="174" fontId="8" fillId="0" borderId="1" xfId="0" applyNumberFormat="1" applyFont="1" applyBorder="1" applyAlignment="1">
      <alignment horizontal="center" vertical="center" wrapText="1"/>
    </xf>
    <xf numFmtId="174" fontId="8" fillId="65" borderId="1" xfId="0" applyNumberFormat="1" applyFont="1" applyFill="1" applyBorder="1" applyAlignment="1">
      <alignment horizontal="center" vertical="center" wrapText="1"/>
    </xf>
    <xf numFmtId="171" fontId="257" fillId="0" borderId="11" xfId="847" applyFont="1" applyBorder="1" applyAlignment="1">
      <alignment horizontal="center" vertical="center"/>
    </xf>
    <xf numFmtId="171" fontId="257" fillId="0" borderId="0" xfId="847" applyFont="1" applyAlignment="1">
      <alignment horizontal="center" vertical="center"/>
    </xf>
    <xf numFmtId="174" fontId="8" fillId="0" borderId="52" xfId="0" applyNumberFormat="1" applyFont="1" applyBorder="1" applyAlignment="1">
      <alignment horizontal="center" vertical="center" wrapText="1"/>
    </xf>
    <xf numFmtId="174" fontId="8" fillId="0" borderId="53" xfId="0" applyNumberFormat="1" applyFont="1" applyBorder="1" applyAlignment="1">
      <alignment horizontal="center" vertical="center" wrapText="1"/>
    </xf>
    <xf numFmtId="174" fontId="8" fillId="0" borderId="11" xfId="0" applyNumberFormat="1" applyFont="1" applyBorder="1" applyAlignment="1">
      <alignment horizontal="center" vertical="center" wrapText="1"/>
    </xf>
    <xf numFmtId="174" fontId="8" fillId="0" borderId="54" xfId="0" applyNumberFormat="1" applyFont="1" applyBorder="1" applyAlignment="1">
      <alignment horizontal="center" vertical="center" wrapText="1"/>
    </xf>
    <xf numFmtId="174" fontId="8" fillId="0" borderId="55" xfId="0" applyNumberFormat="1" applyFont="1" applyBorder="1" applyAlignment="1">
      <alignment horizontal="center" vertical="center" wrapText="1"/>
    </xf>
    <xf numFmtId="174" fontId="8" fillId="0" borderId="48" xfId="0" applyNumberFormat="1" applyFont="1" applyBorder="1" applyAlignment="1">
      <alignment horizontal="center" vertical="center" wrapText="1"/>
    </xf>
    <xf numFmtId="0" fontId="8" fillId="0" borderId="52"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0" xfId="0" applyFont="1" applyAlignment="1">
      <alignment horizontal="center" vertical="center" wrapText="1"/>
    </xf>
    <xf numFmtId="0" fontId="8" fillId="0" borderId="54" xfId="0" applyFont="1" applyBorder="1" applyAlignment="1">
      <alignment horizontal="center" vertical="center" wrapText="1"/>
    </xf>
    <xf numFmtId="0" fontId="8" fillId="0" borderId="5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8" xfId="0" applyFont="1" applyBorder="1" applyAlignment="1">
      <alignment horizontal="center" vertical="center" wrapText="1"/>
    </xf>
    <xf numFmtId="0" fontId="10" fillId="0" borderId="0" xfId="0" applyFont="1" applyAlignment="1">
      <alignment horizontal="left" vertical="top" wrapText="1"/>
    </xf>
    <xf numFmtId="0" fontId="230" fillId="0" borderId="0" xfId="0" applyFont="1" applyAlignment="1">
      <alignment horizontal="right" vertical="top" wrapText="1"/>
    </xf>
    <xf numFmtId="0" fontId="7" fillId="0" borderId="0" xfId="0" applyFont="1" applyAlignment="1">
      <alignment horizontal="center" vertical="top" wrapText="1"/>
    </xf>
    <xf numFmtId="175" fontId="231" fillId="0" borderId="0" xfId="888" applyNumberFormat="1" applyFont="1" applyFill="1" applyBorder="1" applyAlignment="1">
      <alignment horizontal="center" vertical="center" wrapText="1"/>
    </xf>
    <xf numFmtId="0" fontId="11" fillId="0" borderId="6" xfId="0" applyFont="1" applyBorder="1" applyAlignment="1">
      <alignment horizontal="center" vertical="center" wrapText="1"/>
    </xf>
    <xf numFmtId="176" fontId="256" fillId="65" borderId="8" xfId="1441" applyNumberFormat="1" applyFont="1" applyFill="1" applyBorder="1" applyAlignment="1">
      <alignment horizontal="center" vertical="center" wrapText="1"/>
    </xf>
    <xf numFmtId="176" fontId="256" fillId="65" borderId="47" xfId="1441" applyNumberFormat="1" applyFont="1" applyFill="1" applyBorder="1" applyAlignment="1">
      <alignment horizontal="center" vertical="center" wrapText="1"/>
    </xf>
    <xf numFmtId="0" fontId="256" fillId="65" borderId="11" xfId="0" applyFont="1" applyFill="1" applyBorder="1" applyAlignment="1">
      <alignment horizontal="center" vertical="center" wrapText="1"/>
    </xf>
    <xf numFmtId="176" fontId="256" fillId="65" borderId="29" xfId="1441" applyNumberFormat="1" applyFont="1" applyFill="1" applyBorder="1" applyAlignment="1">
      <alignment horizontal="center" vertical="center" wrapText="1"/>
    </xf>
    <xf numFmtId="3" fontId="256" fillId="65" borderId="29" xfId="1441" applyNumberFormat="1" applyFont="1" applyFill="1" applyBorder="1" applyAlignment="1">
      <alignment horizontal="center" vertical="center" wrapText="1"/>
    </xf>
    <xf numFmtId="176" fontId="256" fillId="65" borderId="52" xfId="1441" applyNumberFormat="1" applyFont="1" applyFill="1" applyBorder="1" applyAlignment="1">
      <alignment horizontal="center" vertical="center" wrapText="1"/>
    </xf>
    <xf numFmtId="176" fontId="256" fillId="65" borderId="51" xfId="1441" applyNumberFormat="1" applyFont="1" applyFill="1" applyBorder="1" applyAlignment="1">
      <alignment horizontal="center" vertical="center" wrapText="1"/>
    </xf>
    <xf numFmtId="176" fontId="256" fillId="65" borderId="53" xfId="1441" applyNumberFormat="1" applyFont="1" applyFill="1" applyBorder="1" applyAlignment="1">
      <alignment horizontal="center" vertical="center" wrapText="1"/>
    </xf>
    <xf numFmtId="176" fontId="256" fillId="65" borderId="11" xfId="1441" applyNumberFormat="1" applyFont="1" applyFill="1" applyBorder="1" applyAlignment="1">
      <alignment horizontal="center" vertical="center" wrapText="1"/>
    </xf>
    <xf numFmtId="176" fontId="256" fillId="65" borderId="0" xfId="1441" applyNumberFormat="1" applyFont="1" applyFill="1" applyAlignment="1">
      <alignment horizontal="center" vertical="center" wrapText="1"/>
    </xf>
    <xf numFmtId="176" fontId="256" fillId="65" borderId="54" xfId="1441" applyNumberFormat="1" applyFont="1" applyFill="1" applyBorder="1" applyAlignment="1">
      <alignment horizontal="center" vertical="center" wrapText="1"/>
    </xf>
    <xf numFmtId="176" fontId="256" fillId="65" borderId="55" xfId="1441" applyNumberFormat="1" applyFont="1" applyFill="1" applyBorder="1" applyAlignment="1">
      <alignment horizontal="center" vertical="center" wrapText="1"/>
    </xf>
    <xf numFmtId="176" fontId="256" fillId="65" borderId="6" xfId="1441" applyNumberFormat="1" applyFont="1" applyFill="1" applyBorder="1" applyAlignment="1">
      <alignment horizontal="center" vertical="center" wrapText="1"/>
    </xf>
    <xf numFmtId="176" fontId="256" fillId="65" borderId="48" xfId="1441" applyNumberFormat="1" applyFont="1" applyFill="1" applyBorder="1" applyAlignment="1">
      <alignment horizontal="center" vertical="center" wrapText="1"/>
    </xf>
    <xf numFmtId="49" fontId="256" fillId="65" borderId="8" xfId="1441" applyNumberFormat="1" applyFont="1" applyFill="1" applyBorder="1" applyAlignment="1">
      <alignment horizontal="center" vertical="center" wrapText="1"/>
    </xf>
    <xf numFmtId="0" fontId="265" fillId="65" borderId="0" xfId="0" applyFont="1" applyFill="1" applyAlignment="1">
      <alignment horizontal="center"/>
    </xf>
    <xf numFmtId="0" fontId="265" fillId="65" borderId="0" xfId="0" applyFont="1" applyFill="1" applyAlignment="1">
      <alignment horizontal="center" wrapText="1"/>
    </xf>
    <xf numFmtId="1" fontId="285" fillId="65" borderId="0" xfId="0" applyNumberFormat="1" applyFont="1" applyFill="1" applyAlignment="1">
      <alignment horizontal="center"/>
    </xf>
    <xf numFmtId="0" fontId="285" fillId="65" borderId="0" xfId="0" applyFont="1" applyFill="1" applyAlignment="1">
      <alignment horizontal="center"/>
    </xf>
    <xf numFmtId="1" fontId="285" fillId="65" borderId="0" xfId="1441" applyNumberFormat="1" applyFont="1" applyFill="1" applyAlignment="1">
      <alignment horizontal="right" vertical="center" wrapText="1"/>
    </xf>
    <xf numFmtId="0" fontId="256" fillId="65" borderId="29" xfId="0" applyFont="1" applyFill="1" applyBorder="1" applyAlignment="1">
      <alignment horizontal="center" vertical="center" wrapText="1"/>
    </xf>
    <xf numFmtId="0" fontId="256" fillId="65" borderId="8" xfId="0" applyFont="1" applyFill="1" applyBorder="1" applyAlignment="1">
      <alignment horizontal="center" vertical="center" wrapText="1"/>
    </xf>
    <xf numFmtId="3" fontId="256" fillId="65" borderId="8" xfId="1441" applyNumberFormat="1" applyFont="1" applyFill="1" applyBorder="1" applyAlignment="1">
      <alignment horizontal="center" vertical="center" wrapText="1"/>
    </xf>
    <xf numFmtId="1" fontId="256" fillId="65" borderId="29" xfId="1441" applyNumberFormat="1" applyFont="1" applyFill="1" applyBorder="1" applyAlignment="1">
      <alignment horizontal="center" vertical="center" wrapText="1"/>
    </xf>
    <xf numFmtId="1" fontId="256" fillId="65" borderId="8" xfId="1441" applyNumberFormat="1" applyFont="1" applyFill="1" applyBorder="1" applyAlignment="1">
      <alignment horizontal="center" vertical="center" wrapText="1"/>
    </xf>
    <xf numFmtId="0" fontId="255" fillId="0" borderId="1" xfId="0" applyFont="1" applyBorder="1" applyAlignment="1">
      <alignment horizontal="center" vertical="center"/>
    </xf>
    <xf numFmtId="174" fontId="9" fillId="0" borderId="1" xfId="0" applyNumberFormat="1" applyFont="1" applyBorder="1" applyAlignment="1">
      <alignment horizontal="center" vertical="center" wrapText="1"/>
    </xf>
    <xf numFmtId="174" fontId="234" fillId="0" borderId="24" xfId="0" applyNumberFormat="1" applyFont="1" applyBorder="1" applyAlignment="1">
      <alignment horizontal="center" vertical="center" wrapText="1"/>
    </xf>
    <xf numFmtId="0" fontId="254" fillId="0" borderId="0" xfId="0" applyFont="1" applyAlignment="1">
      <alignment horizontal="left" vertical="top" wrapText="1"/>
    </xf>
    <xf numFmtId="0" fontId="254" fillId="0" borderId="0" xfId="0" applyFont="1" applyAlignment="1">
      <alignment horizontal="left" vertical="top"/>
    </xf>
    <xf numFmtId="0" fontId="9" fillId="0" borderId="1" xfId="0" applyFont="1" applyBorder="1" applyAlignment="1">
      <alignment horizontal="center" vertical="center" wrapText="1"/>
    </xf>
    <xf numFmtId="174" fontId="9" fillId="0" borderId="24" xfId="0" applyNumberFormat="1" applyFont="1" applyBorder="1" applyAlignment="1">
      <alignment horizontal="center" vertical="center" wrapText="1"/>
    </xf>
    <xf numFmtId="174" fontId="9" fillId="0" borderId="22" xfId="0" applyNumberFormat="1" applyFont="1" applyBorder="1" applyAlignment="1">
      <alignment horizontal="center" vertical="center" wrapText="1"/>
    </xf>
    <xf numFmtId="0" fontId="265" fillId="0" borderId="0" xfId="0" applyFont="1" applyAlignment="1">
      <alignment horizontal="center" vertical="center"/>
    </xf>
    <xf numFmtId="1" fontId="285" fillId="0" borderId="0" xfId="0" applyNumberFormat="1" applyFont="1" applyAlignment="1">
      <alignment horizontal="center" vertical="center"/>
    </xf>
    <xf numFmtId="0" fontId="285" fillId="0" borderId="0" xfId="0" applyFont="1" applyAlignment="1">
      <alignment horizontal="center" vertical="center"/>
    </xf>
    <xf numFmtId="328" fontId="6" fillId="0" borderId="0" xfId="0" applyNumberFormat="1" applyFont="1" applyAlignment="1">
      <alignment horizontal="center" vertical="center"/>
    </xf>
    <xf numFmtId="0" fontId="295" fillId="0" borderId="14" xfId="0" applyFont="1" applyBorder="1" applyAlignment="1">
      <alignment horizontal="center" vertical="center" wrapText="1"/>
    </xf>
    <xf numFmtId="0" fontId="295" fillId="0" borderId="10" xfId="0" applyFont="1" applyBorder="1" applyAlignment="1">
      <alignment horizontal="center" vertical="center" wrapText="1"/>
    </xf>
    <xf numFmtId="0" fontId="8" fillId="0" borderId="1" xfId="1441" applyFont="1" applyBorder="1" applyAlignment="1">
      <alignment horizontal="center" vertical="center" wrapText="1"/>
    </xf>
    <xf numFmtId="0" fontId="8" fillId="0" borderId="39" xfId="1441" applyFont="1" applyBorder="1" applyAlignment="1">
      <alignment horizontal="center" vertical="center" wrapText="1"/>
    </xf>
    <xf numFmtId="0" fontId="8" fillId="0" borderId="14" xfId="1441" applyFont="1" applyBorder="1" applyAlignment="1">
      <alignment horizontal="center" vertical="center" wrapText="1"/>
    </xf>
    <xf numFmtId="0" fontId="8" fillId="0" borderId="10" xfId="1441" applyFont="1" applyBorder="1" applyAlignment="1">
      <alignment horizontal="center" vertical="center" wrapText="1"/>
    </xf>
    <xf numFmtId="0" fontId="8" fillId="0" borderId="24"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49" xfId="0" applyFont="1" applyBorder="1" applyAlignment="1">
      <alignment horizontal="center" vertical="center" wrapText="1"/>
    </xf>
    <xf numFmtId="0" fontId="7" fillId="0" borderId="0" xfId="0" applyFont="1" applyAlignment="1">
      <alignment horizontal="center" vertical="top"/>
    </xf>
    <xf numFmtId="328" fontId="232" fillId="0" borderId="0" xfId="0" applyNumberFormat="1" applyFont="1" applyAlignment="1">
      <alignment horizontal="center" vertical="top"/>
    </xf>
    <xf numFmtId="0" fontId="9" fillId="0" borderId="39"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0" xfId="0" applyFont="1" applyBorder="1" applyAlignment="1">
      <alignment horizontal="center" vertical="center" wrapText="1"/>
    </xf>
    <xf numFmtId="0" fontId="240" fillId="0" borderId="1" xfId="0" applyFont="1" applyBorder="1" applyAlignment="1">
      <alignment horizontal="center" vertical="center" wrapText="1"/>
    </xf>
    <xf numFmtId="0" fontId="9" fillId="0" borderId="52" xfId="0" applyFont="1" applyBorder="1" applyAlignment="1">
      <alignment horizontal="center" vertical="center" wrapText="1"/>
    </xf>
    <xf numFmtId="0" fontId="9" fillId="0" borderId="51" xfId="0" applyFont="1" applyBorder="1" applyAlignment="1">
      <alignment horizontal="center" vertical="center" wrapText="1"/>
    </xf>
    <xf numFmtId="0" fontId="9" fillId="0" borderId="53"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0" xfId="0" applyFont="1" applyAlignment="1">
      <alignment horizontal="center" vertical="center" wrapText="1"/>
    </xf>
    <xf numFmtId="0" fontId="9" fillId="0" borderId="54" xfId="0" applyFont="1" applyBorder="1" applyAlignment="1">
      <alignment horizontal="center" vertical="center" wrapText="1"/>
    </xf>
    <xf numFmtId="0" fontId="9" fillId="0" borderId="5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8"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9" xfId="0" applyFont="1" applyBorder="1" applyAlignment="1">
      <alignment horizontal="center" vertical="center" wrapText="1"/>
    </xf>
    <xf numFmtId="0" fontId="9" fillId="0" borderId="22" xfId="0" applyFont="1" applyBorder="1" applyAlignment="1">
      <alignment horizontal="center" vertical="center" wrapText="1"/>
    </xf>
    <xf numFmtId="3" fontId="2" fillId="0" borderId="46" xfId="0" applyNumberFormat="1" applyFont="1" applyBorder="1" applyAlignment="1">
      <alignment horizontal="center" vertical="center" wrapText="1"/>
    </xf>
    <xf numFmtId="3" fontId="2" fillId="0" borderId="14" xfId="0" applyNumberFormat="1" applyFont="1" applyBorder="1" applyAlignment="1">
      <alignment horizontal="center" vertical="center" wrapText="1"/>
    </xf>
    <xf numFmtId="3" fontId="2" fillId="0" borderId="20" xfId="0" applyNumberFormat="1" applyFont="1" applyBorder="1" applyAlignment="1">
      <alignment horizontal="center" vertical="center" wrapText="1"/>
    </xf>
    <xf numFmtId="0" fontId="2" fillId="0" borderId="46"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20" xfId="0" applyFont="1" applyBorder="1" applyAlignment="1">
      <alignment horizontal="center" vertical="center" wrapText="1"/>
    </xf>
    <xf numFmtId="3" fontId="2" fillId="0" borderId="46" xfId="0" applyNumberFormat="1" applyFont="1" applyBorder="1" applyAlignment="1">
      <alignment horizontal="left" vertical="center" wrapText="1"/>
    </xf>
    <xf numFmtId="3" fontId="2" fillId="0" borderId="14" xfId="0" applyNumberFormat="1" applyFont="1" applyBorder="1" applyAlignment="1">
      <alignment horizontal="left" vertical="center" wrapText="1"/>
    </xf>
    <xf numFmtId="3" fontId="2" fillId="0" borderId="20" xfId="0" applyNumberFormat="1" applyFont="1" applyBorder="1" applyAlignment="1">
      <alignment horizontal="left" vertical="center" wrapText="1"/>
    </xf>
    <xf numFmtId="3" fontId="238" fillId="0" borderId="8" xfId="0" applyNumberFormat="1" applyFont="1" applyBorder="1" applyAlignment="1">
      <alignment horizontal="center" vertical="center" wrapText="1"/>
    </xf>
    <xf numFmtId="3" fontId="256" fillId="0" borderId="24" xfId="0" applyNumberFormat="1" applyFont="1" applyBorder="1" applyAlignment="1">
      <alignment horizontal="center" vertical="center" wrapText="1"/>
    </xf>
    <xf numFmtId="3" fontId="256" fillId="0" borderId="22" xfId="0" applyNumberFormat="1" applyFont="1" applyBorder="1" applyAlignment="1">
      <alignment horizontal="center" vertical="center" wrapText="1"/>
    </xf>
    <xf numFmtId="3" fontId="256" fillId="0" borderId="49" xfId="0" applyNumberFormat="1" applyFont="1" applyBorder="1" applyAlignment="1">
      <alignment horizontal="center" vertical="center" wrapText="1"/>
    </xf>
    <xf numFmtId="3" fontId="256" fillId="0" borderId="1" xfId="0" applyNumberFormat="1" applyFont="1" applyBorder="1" applyAlignment="1">
      <alignment horizontal="center" vertical="center" wrapText="1"/>
    </xf>
    <xf numFmtId="3" fontId="256" fillId="0" borderId="39" xfId="0" applyNumberFormat="1" applyFont="1" applyBorder="1" applyAlignment="1">
      <alignment horizontal="center" vertical="center" wrapText="1"/>
    </xf>
    <xf numFmtId="3" fontId="256" fillId="0" borderId="10" xfId="0" applyNumberFormat="1" applyFont="1" applyBorder="1" applyAlignment="1">
      <alignment horizontal="center" vertical="center" wrapText="1"/>
    </xf>
    <xf numFmtId="3" fontId="256" fillId="0" borderId="14" xfId="0" applyNumberFormat="1" applyFont="1" applyBorder="1" applyAlignment="1">
      <alignment horizontal="center" vertical="center" wrapText="1"/>
    </xf>
    <xf numFmtId="0" fontId="6" fillId="0" borderId="6" xfId="0" applyFont="1" applyBorder="1" applyAlignment="1">
      <alignment horizontal="right"/>
    </xf>
    <xf numFmtId="0" fontId="3" fillId="0" borderId="0" xfId="0" applyFont="1" applyAlignment="1">
      <alignment horizontal="center"/>
    </xf>
    <xf numFmtId="0" fontId="3" fillId="0" borderId="0" xfId="0" applyFont="1" applyAlignment="1">
      <alignment horizontal="center" wrapText="1"/>
    </xf>
    <xf numFmtId="0" fontId="244" fillId="0" borderId="0" xfId="0" applyFont="1" applyAlignment="1">
      <alignment horizontal="center"/>
    </xf>
    <xf numFmtId="0" fontId="156" fillId="0" borderId="0" xfId="0" applyFont="1" applyAlignment="1">
      <alignment horizontal="left" vertical="top" wrapText="1"/>
    </xf>
    <xf numFmtId="0" fontId="7" fillId="0" borderId="39"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 xfId="0" applyFont="1" applyBorder="1" applyAlignment="1">
      <alignment horizontal="center" vertical="center" wrapText="1"/>
    </xf>
    <xf numFmtId="2" fontId="7" fillId="0" borderId="0" xfId="0" applyNumberFormat="1" applyFont="1" applyAlignment="1">
      <alignment horizontal="center" vertical="center" wrapText="1"/>
    </xf>
    <xf numFmtId="0" fontId="7" fillId="0" borderId="0" xfId="0" applyFont="1" applyAlignment="1">
      <alignment horizontal="center" vertical="center" wrapText="1"/>
    </xf>
    <xf numFmtId="171" fontId="190" fillId="0" borderId="1" xfId="847" applyFont="1" applyFill="1" applyBorder="1" applyAlignment="1">
      <alignment vertical="center"/>
    </xf>
    <xf numFmtId="173" fontId="190" fillId="0" borderId="1" xfId="0" applyNumberFormat="1" applyFont="1" applyBorder="1" applyAlignment="1">
      <alignment horizontal="center" vertical="center" wrapText="1"/>
    </xf>
    <xf numFmtId="171" fontId="8" fillId="0" borderId="1" xfId="847" applyFont="1" applyBorder="1" applyAlignment="1">
      <alignment horizontal="right" vertical="center" wrapText="1"/>
    </xf>
    <xf numFmtId="171" fontId="190" fillId="0" borderId="1" xfId="847" applyFont="1" applyBorder="1" applyAlignment="1">
      <alignment horizontal="right" vertical="center" wrapText="1"/>
    </xf>
  </cellXfs>
  <cellStyles count="2139">
    <cellStyle name="_x0001_" xfId="1"/>
    <cellStyle name="          _x000d__x000a_shell=progman.exe_x000d__x000a_m" xfId="2"/>
    <cellStyle name=" Task]_x000d__x000a_TaskName=Scan At_x000d__x000a_TaskID=3_x000d__x000a_WorkstationName=SmarTone_x000d__x000a_LastExecuted=0_x000d__x000a_LastSt" xfId="3"/>
    <cellStyle name="_x000d__x000a_JournalTemplate=C:\COMFO\CTALK\JOURSTD.TPL_x000d__x000a_LbStateAddress=3 3 0 251 1 89 2 311_x000d__x000a_LbStateJou" xfId="4"/>
    <cellStyle name="_x000d__x000a_JournalTemplate=C:\COMFO\CTALK\JOURSTD.TPL_x000d__x000a_LbStateAddress=3 3 0 251 1 89 2 311_x000d__x000a_LbStateJou 3" xfId="5"/>
    <cellStyle name="#,##0" xfId="6"/>
    <cellStyle name="%" xfId="7"/>
    <cellStyle name="､@ｯ・ｰl･[ｨ｣ｿn" xfId="8"/>
    <cellStyle name="." xfId="9"/>
    <cellStyle name=".d©y" xfId="10"/>
    <cellStyle name="??" xfId="11"/>
    <cellStyle name="?? [ - ??1" xfId="12"/>
    <cellStyle name="?? [ - ??2" xfId="13"/>
    <cellStyle name="?? [ - ??3" xfId="14"/>
    <cellStyle name="?? [ - ??4" xfId="15"/>
    <cellStyle name="?? [ - ??5" xfId="16"/>
    <cellStyle name="?? [ - ??6" xfId="17"/>
    <cellStyle name="?? [ - ??7" xfId="18"/>
    <cellStyle name="?? [ - ??8" xfId="19"/>
    <cellStyle name="?? [0.00]_ Att. 1- Cover" xfId="20"/>
    <cellStyle name="?? [0]" xfId="21"/>
    <cellStyle name="?? 2" xfId="22"/>
    <cellStyle name="?_x001d_??%U©÷u&amp;H©÷9_x0008_? s_x000a__x0007__x0001__x0001_" xfId="23"/>
    <cellStyle name="?_x001d_??%U©÷u&amp;H©÷9_x0008_?_x0009_s_x000a__x0007__x0001__x0001_" xfId="24"/>
    <cellStyle name="???? [0.00]_      " xfId="25"/>
    <cellStyle name="??????" xfId="26"/>
    <cellStyle name="????_      " xfId="27"/>
    <cellStyle name="???[0]_?? DI" xfId="28"/>
    <cellStyle name="???_?? DI" xfId="29"/>
    <cellStyle name="?_x0010__x0001_??Pr" xfId="30"/>
    <cellStyle name="??[0]_BRE" xfId="31"/>
    <cellStyle name="??_      " xfId="32"/>
    <cellStyle name="??9JS—_x0008_??????????????????H_x0001_????&lt;i·0??????????_x0007_?_x0010__x0001_??Thongso??9JS—_x0008_??????????????????‚_x0001_?" xfId="33"/>
    <cellStyle name="??A? [0]_laroux_1_¢¬???¢â? " xfId="34"/>
    <cellStyle name="??A?_laroux_1_¢¬???¢â? " xfId="35"/>
    <cellStyle name="_x0001_??Thanh_phan?9š" xfId="36"/>
    <cellStyle name="?¡±¢¥?_?¨ù??¢´¢¥_¢¬???¢â? " xfId="37"/>
    <cellStyle name="?ðÇ%U?&amp;H?_x0008_?s_x000a__x0007__x0001__x0001_" xfId="38"/>
    <cellStyle name="?Sums?9^R—_x0008_????????????????????N_x0004__x0002__x0003_1?_x0014_" xfId="39"/>
    <cellStyle name="? [0.00]_Book5" xfId="40"/>
    <cellStyle name="?_Book5" xfId="41"/>
    <cellStyle name="[0]_Chi phÝ kh¸c_V" xfId="42"/>
    <cellStyle name="_(HCNnguyen) (23.6) CACTUYENNVSON" xfId="43"/>
    <cellStyle name="_1 TONG HOP - CA NA" xfId="44"/>
    <cellStyle name="_111111111111111111111111111111111" xfId="45"/>
    <cellStyle name="_123_DONG_THANH_Moi" xfId="46"/>
    <cellStyle name="_18-7" xfId="47"/>
    <cellStyle name="_29-5" xfId="48"/>
    <cellStyle name="_9-7" xfId="49"/>
    <cellStyle name="_Bang Chi tieu (2)" xfId="50"/>
    <cellStyle name="_BẢNG TỔNG HỢP" xfId="51"/>
    <cellStyle name="_bangketuyen" xfId="52"/>
    <cellStyle name="_BangTH" xfId="53"/>
    <cellStyle name="_BangTH_9-7" xfId="54"/>
    <cellStyle name="_BangTH_BAO CAO Moi" xfId="55"/>
    <cellStyle name="_BangTH_BC Tong KV1 Binh" xfId="56"/>
    <cellStyle name="_BangTH_BTS" xfId="57"/>
    <cellStyle name="_BangTH_KV2" xfId="58"/>
    <cellStyle name="_BangTH_Phong HT Bao Cao" xfId="59"/>
    <cellStyle name="_BangTH_QH xa ok.xls" xfId="60"/>
    <cellStyle name="_BangTH_QHX" xfId="61"/>
    <cellStyle name="_BangTH_QHX Moi" xfId="62"/>
    <cellStyle name="_BangTH_Quang Hoa Xa Tong The lam hang ngay" xfId="63"/>
    <cellStyle name="_BANGTHTTKPHI-TRAM DM 23" xfId="64"/>
    <cellStyle name="_BANGTHTTKPHI-TRAM DM 23_9-7" xfId="65"/>
    <cellStyle name="_BANGTHTTKPHI-TRAM DM 23_BAO CAO Moi" xfId="66"/>
    <cellStyle name="_BANGTHTTKPHI-TRAM DM 23_BC Tong KV1 Binh" xfId="67"/>
    <cellStyle name="_BANGTHTTKPHI-TRAM DM 23_BTS" xfId="68"/>
    <cellStyle name="_BANGTHTTKPHI-TRAM DM 23_KV2" xfId="69"/>
    <cellStyle name="_BANGTHTTKPHI-TRAM DM 23_Phong HT Bao Cao" xfId="70"/>
    <cellStyle name="_BANGTHTTKPHI-TRAM DM 23_QH xa ok.xls" xfId="71"/>
    <cellStyle name="_BANGTHTTKPHI-TRAM DM 23_QHX" xfId="72"/>
    <cellStyle name="_BANGTHTTKPHI-TRAM DM 23_QHX Moi" xfId="73"/>
    <cellStyle name="_BANGTHTTKPHI-TRAM DM 23_Quang Hoa Xa Tong The lam hang ngay" xfId="74"/>
    <cellStyle name="_Bao cao nhu cau vat tu cap tinh chuan ok.xls-Lan 3" xfId="75"/>
    <cellStyle name="_Bao cao PTM hang ngay2" xfId="76"/>
    <cellStyle name="_Bao cao PTM ngay 7-16" xfId="77"/>
    <cellStyle name="_BAO GIA NGAY 24-10-08 (co dam)" xfId="78"/>
    <cellStyle name="_BAOCAOVUNG7 1" xfId="79"/>
    <cellStyle name="_bbbbbbb" xfId="80"/>
    <cellStyle name="_BC  NAM 2007" xfId="81"/>
    <cellStyle name="_BC CV 6403 BKHĐT" xfId="82"/>
    <cellStyle name="_Bieu KH 2008" xfId="83"/>
    <cellStyle name="_Bieu mau cong trinh khoi cong moi 3-4" xfId="84"/>
    <cellStyle name="_Bieu3ODA" xfId="85"/>
    <cellStyle name="_Bieu4HTMT" xfId="86"/>
    <cellStyle name="_Book1" xfId="87"/>
    <cellStyle name="_x0001__Book1" xfId="88"/>
    <cellStyle name="_Book1_1" xfId="89"/>
    <cellStyle name="_Book1_1_Book1" xfId="90"/>
    <cellStyle name="_Book1_111111111111111111111111111111111" xfId="91"/>
    <cellStyle name="_Book1_2" xfId="92"/>
    <cellStyle name="_Book1_9-7" xfId="93"/>
    <cellStyle name="_Book1_báo cáo doanh thu tháng 12" xfId="94"/>
    <cellStyle name="_Book1_BAO CAO Moi" xfId="95"/>
    <cellStyle name="_Book1_bao cao nhu cau BTS-CNKT tinh KV2" xfId="96"/>
    <cellStyle name="_Book1_Bao cao nhu cau vat tu cap tinh chuan ok.xls-Lan 3" xfId="97"/>
    <cellStyle name="_Book1_BAOCAOVUNG7 1" xfId="98"/>
    <cellStyle name="_Book1_BC Tong KV1 Binh" xfId="99"/>
    <cellStyle name="_Book1_Book1" xfId="100"/>
    <cellStyle name="_Book1_BTS" xfId="101"/>
    <cellStyle name="_Book1_cong hang rao" xfId="102"/>
    <cellStyle name="_Book1_HC  QNM009(van dc1)" xfId="103"/>
    <cellStyle name="_Book1_IN" xfId="104"/>
    <cellStyle name="_Book1_KV2" xfId="110"/>
    <cellStyle name="_Book1_KH hoach keo quang thang 5" xfId="105"/>
    <cellStyle name="_Book1_KH phat song 30-06-2009 CNKT tinh KV2-BTS" xfId="106"/>
    <cellStyle name="_Book1_Kh ql62 (2010) 11-09" xfId="107"/>
    <cellStyle name="_Book1_KH T6" xfId="108"/>
    <cellStyle name="_Book1_Khung 2012" xfId="109"/>
    <cellStyle name="_Book1_MAU BAO CAO THANG MOI CHO ANH DUONG.xls-cu jut" xfId="111"/>
    <cellStyle name="_Book1_Pluc BTS KV2" xfId="114"/>
    <cellStyle name="_Book1_Phong HT Bao Cao" xfId="112"/>
    <cellStyle name="_Book1_phu luc tong ket tinh hinh TH giai doan 03-10 (ngay 30)" xfId="113"/>
    <cellStyle name="_Book1_QH xa ok.xls" xfId="115"/>
    <cellStyle name="_Book1_QHX" xfId="116"/>
    <cellStyle name="_Book1_QHX Moi" xfId="117"/>
    <cellStyle name="_Book1_Quang Hoa Xa Tong The lam hang ngay" xfId="118"/>
    <cellStyle name="_Book1_tờ trinh-lan" xfId="120"/>
    <cellStyle name="_Book1_TH  PTM hang ngay" xfId="119"/>
    <cellStyle name="_Book2" xfId="121"/>
    <cellStyle name="_BTS KV2" xfId="122"/>
    <cellStyle name="_BTS T4 va 5 kv2" xfId="123"/>
    <cellStyle name="_BTS T6 Binh" xfId="124"/>
    <cellStyle name="_BTS T6 Dung" xfId="125"/>
    <cellStyle name="_BTS T6 Hoan Chinh" xfId="126"/>
    <cellStyle name="_C.cong+B.luong-Sanluong" xfId="127"/>
    <cellStyle name="_CAC TUYEN CAP QUANG" xfId="128"/>
    <cellStyle name="_Cac tuyen lam HD SONG BA (8.7)" xfId="129"/>
    <cellStyle name="_cong hang rao" xfId="130"/>
    <cellStyle name="_CP 6 thang dau nam 2007 moi" xfId="131"/>
    <cellStyle name="_DAKNONG" xfId="132"/>
    <cellStyle name="_dien chieu sang" xfId="133"/>
    <cellStyle name="_DO-D1500-KHONG CO TRONG DT" xfId="134"/>
    <cellStyle name="_Dong Thap" xfId="135"/>
    <cellStyle name="_DS BTS THANG 5" xfId="136"/>
    <cellStyle name="_DTDT BL-DL" xfId="137"/>
    <cellStyle name="_DTDT BL-DL_Book1" xfId="138"/>
    <cellStyle name="_Duyet TK thay đôi" xfId="139"/>
    <cellStyle name="_FD743100" xfId="140"/>
    <cellStyle name="_GOITHAUSO2" xfId="143"/>
    <cellStyle name="_GOITHAUSO3" xfId="144"/>
    <cellStyle name="_GOITHAUSO4" xfId="145"/>
    <cellStyle name="_Gia tri TT (dot 3)" xfId="141"/>
    <cellStyle name="_Gia tri TT (dot3)" xfId="142"/>
    <cellStyle name="_HaHoa_TDT_DienCSang" xfId="146"/>
    <cellStyle name="_HaHoa19-5-07" xfId="147"/>
    <cellStyle name="_HiepDuc-TienPhuoc-BacTraMy-Thang Binh" xfId="148"/>
    <cellStyle name="_IN" xfId="149"/>
    <cellStyle name="_KT (2)" xfId="153"/>
    <cellStyle name="_KT (2)_1" xfId="154"/>
    <cellStyle name="_KT (2)_1_Book1" xfId="155"/>
    <cellStyle name="_KT (2)_1_Lora-tungchau" xfId="156"/>
    <cellStyle name="_KT (2)_1_Lora-tungchau_Book1" xfId="157"/>
    <cellStyle name="_KT (2)_1_Qt-HT3PQ1(CauKho)" xfId="158"/>
    <cellStyle name="_KT (2)_1_Qt-HT3PQ1(CauKho)_Book1" xfId="159"/>
    <cellStyle name="_KT (2)_2" xfId="160"/>
    <cellStyle name="_KT (2)_2_Book1" xfId="161"/>
    <cellStyle name="_KT (2)_2_TG-TH" xfId="162"/>
    <cellStyle name="_KT (2)_2_TG-TH_ApGiaVatTu_cayxanh_latgach" xfId="163"/>
    <cellStyle name="_KT (2)_2_TG-TH_BANG TONG HOP TINH HINH THANH QUYET TOAN (MOI I)" xfId="164"/>
    <cellStyle name="_KT (2)_2_TG-TH_BAO GIA NGAY 24-10-08 (co dam)" xfId="165"/>
    <cellStyle name="_KT (2)_2_TG-TH_BC  NAM 2007" xfId="166"/>
    <cellStyle name="_KT (2)_2_TG-TH_BC CV 6403 BKHĐT" xfId="167"/>
    <cellStyle name="_KT (2)_2_TG-TH_BC NQ11-CP - chinh sua lai" xfId="168"/>
    <cellStyle name="_KT (2)_2_TG-TH_BC NQ11-CP-Quynh sau bieu so3" xfId="169"/>
    <cellStyle name="_KT (2)_2_TG-TH_BC_NQ11-CP_-_Thao_sua_lai" xfId="170"/>
    <cellStyle name="_KT (2)_2_TG-TH_Bieu mau cong trinh khoi cong moi 3-4" xfId="171"/>
    <cellStyle name="_KT (2)_2_TG-TH_Bieu3ODA" xfId="172"/>
    <cellStyle name="_KT (2)_2_TG-TH_Book1" xfId="173"/>
    <cellStyle name="_KT (2)_2_TG-TH_Book1_1" xfId="174"/>
    <cellStyle name="_KT (2)_2_TG-TH_Book1_1_BC CV 6403 BKHĐT" xfId="175"/>
    <cellStyle name="_KT (2)_2_TG-TH_Book1_1_Bieu mau cong trinh khoi cong moi 3-4" xfId="176"/>
    <cellStyle name="_KT (2)_2_TG-TH_Book1_1_Book1" xfId="177"/>
    <cellStyle name="_KT (2)_2_TG-TH_Book1_1_Luy ke von ung nam 2011 -Thoa gui ngay 12-8-2012" xfId="178"/>
    <cellStyle name="_KT (2)_2_TG-TH_Book1_2" xfId="179"/>
    <cellStyle name="_KT (2)_2_TG-TH_Book1_2_BC CV 6403 BKHĐT" xfId="180"/>
    <cellStyle name="_KT (2)_2_TG-TH_Book1_2_Luy ke von ung nam 2011 -Thoa gui ngay 12-8-2012" xfId="181"/>
    <cellStyle name="_KT (2)_2_TG-TH_Book1_BC CV 6403 BKHĐT" xfId="182"/>
    <cellStyle name="_KT (2)_2_TG-TH_Book1_Bieu mau cong trinh khoi cong moi 3-4" xfId="183"/>
    <cellStyle name="_KT (2)_2_TG-TH_Book1_Luy ke von ung nam 2011 -Thoa gui ngay 12-8-2012" xfId="184"/>
    <cellStyle name="_KT (2)_2_TG-TH_CAU Khanh Nam(Thi Cong)" xfId="185"/>
    <cellStyle name="_KT (2)_2_TG-TH_CoCauPhi (version 1)" xfId="187"/>
    <cellStyle name="_KT (2)_2_TG-TH_ChiHuong_ApGia" xfId="186"/>
    <cellStyle name="_KT (2)_2_TG-TH_DAU NOI PL-CL TAI PHU LAMHC" xfId="188"/>
    <cellStyle name="_KT (2)_2_TG-TH_DAU NOI PL-CL TAI PHU LAMHC_Book1" xfId="189"/>
    <cellStyle name="_KT (2)_2_TG-TH_DU TRU VAT TU" xfId="190"/>
    <cellStyle name="_KT (2)_2_TG-TH_Ha Nam" xfId="191"/>
    <cellStyle name="_KT (2)_2_TG-TH_Lora-tungchau" xfId="192"/>
    <cellStyle name="_KT (2)_2_TG-TH_Lora-tungchau_Book1" xfId="193"/>
    <cellStyle name="_KT (2)_2_TG-TH_Luy ke von ung nam 2011 -Thoa gui ngay 12-8-2012" xfId="194"/>
    <cellStyle name="_KT (2)_2_TG-TH_NhanCong" xfId="195"/>
    <cellStyle name="_KT (2)_2_TG-TH_phu luc tong ket tinh hinh TH giai doan 03-10 (ngay 30)" xfId="196"/>
    <cellStyle name="_KT (2)_2_TG-TH_Qt-HT3PQ1(CauKho)" xfId="197"/>
    <cellStyle name="_KT (2)_2_TG-TH_Qt-HT3PQ1(CauKho)_Book1" xfId="198"/>
    <cellStyle name="_KT (2)_2_TG-TH_Sheet1" xfId="199"/>
    <cellStyle name="_KT (2)_2_TG-TH_ÿÿÿÿÿ" xfId="200"/>
    <cellStyle name="_KT (2)_2_TG-TH_ÿÿÿÿÿ_Bieu mau cong trinh khoi cong moi 3-4" xfId="201"/>
    <cellStyle name="_KT (2)_2_TG-TH_ÿÿÿÿÿ_Bieu3ODA" xfId="202"/>
    <cellStyle name="_KT (2)_2_TG-TH_ÿÿÿÿÿ_Ha Nam" xfId="203"/>
    <cellStyle name="_KT (2)_3" xfId="204"/>
    <cellStyle name="_KT (2)_3_Book1" xfId="205"/>
    <cellStyle name="_KT (2)_3_TG-TH" xfId="206"/>
    <cellStyle name="_KT (2)_3_TG-TH_BC  NAM 2007" xfId="207"/>
    <cellStyle name="_KT (2)_3_TG-TH_Bieu mau cong trinh khoi cong moi 3-4" xfId="208"/>
    <cellStyle name="_KT (2)_3_TG-TH_Bieu3ODA" xfId="209"/>
    <cellStyle name="_KT (2)_3_TG-TH_Book1" xfId="210"/>
    <cellStyle name="_KT (2)_3_TG-TH_Book1_1" xfId="211"/>
    <cellStyle name="_KT (2)_3_TG-TH_Ha Nam" xfId="212"/>
    <cellStyle name="_KT (2)_3_TG-TH_Lora-tungchau" xfId="213"/>
    <cellStyle name="_KT (2)_3_TG-TH_Lora-tungchau_Book1" xfId="214"/>
    <cellStyle name="_KT (2)_3_TG-TH_PERSONAL" xfId="215"/>
    <cellStyle name="_KT (2)_3_TG-TH_PERSONAL_BC CV 6403 BKHĐT" xfId="216"/>
    <cellStyle name="_KT (2)_3_TG-TH_PERSONAL_Bieu mau cong trinh khoi cong moi 3-4" xfId="217"/>
    <cellStyle name="_KT (2)_3_TG-TH_PERSONAL_Book1" xfId="218"/>
    <cellStyle name="_KT (2)_3_TG-TH_PERSONAL_Luy ke von ung nam 2011 -Thoa gui ngay 12-8-2012" xfId="219"/>
    <cellStyle name="_KT (2)_3_TG-TH_PERSONAL_Tong hop KHCB 2001" xfId="220"/>
    <cellStyle name="_KT (2)_3_TG-TH_Qt-HT3PQ1(CauKho)" xfId="221"/>
    <cellStyle name="_KT (2)_3_TG-TH_Qt-HT3PQ1(CauKho)_Book1" xfId="222"/>
    <cellStyle name="_KT (2)_3_TG-TH_ÿÿÿÿÿ" xfId="223"/>
    <cellStyle name="_KT (2)_4" xfId="224"/>
    <cellStyle name="_KT (2)_4_ApGiaVatTu_cayxanh_latgach" xfId="225"/>
    <cellStyle name="_KT (2)_4_BANG TONG HOP TINH HINH THANH QUYET TOAN (MOI I)" xfId="226"/>
    <cellStyle name="_KT (2)_4_BAO GIA NGAY 24-10-08 (co dam)" xfId="227"/>
    <cellStyle name="_KT (2)_4_BC  NAM 2007" xfId="228"/>
    <cellStyle name="_KT (2)_4_BC CV 6403 BKHĐT" xfId="229"/>
    <cellStyle name="_KT (2)_4_BC NQ11-CP - chinh sua lai" xfId="230"/>
    <cellStyle name="_KT (2)_4_BC NQ11-CP-Quynh sau bieu so3" xfId="231"/>
    <cellStyle name="_KT (2)_4_BC_NQ11-CP_-_Thao_sua_lai" xfId="232"/>
    <cellStyle name="_KT (2)_4_Bieu mau cong trinh khoi cong moi 3-4" xfId="233"/>
    <cellStyle name="_KT (2)_4_Bieu3ODA" xfId="234"/>
    <cellStyle name="_KT (2)_4_Book1" xfId="235"/>
    <cellStyle name="_KT (2)_4_Book1_1" xfId="236"/>
    <cellStyle name="_KT (2)_4_Book1_1_BC CV 6403 BKHĐT" xfId="237"/>
    <cellStyle name="_KT (2)_4_Book1_1_Bieu mau cong trinh khoi cong moi 3-4" xfId="238"/>
    <cellStyle name="_KT (2)_4_Book1_1_Book1" xfId="239"/>
    <cellStyle name="_KT (2)_4_Book1_1_Luy ke von ung nam 2011 -Thoa gui ngay 12-8-2012" xfId="240"/>
    <cellStyle name="_KT (2)_4_Book1_2" xfId="241"/>
    <cellStyle name="_KT (2)_4_Book1_2_BC CV 6403 BKHĐT" xfId="242"/>
    <cellStyle name="_KT (2)_4_Book1_2_Luy ke von ung nam 2011 -Thoa gui ngay 12-8-2012" xfId="243"/>
    <cellStyle name="_KT (2)_4_Book1_BC CV 6403 BKHĐT" xfId="244"/>
    <cellStyle name="_KT (2)_4_Book1_Bieu mau cong trinh khoi cong moi 3-4" xfId="245"/>
    <cellStyle name="_KT (2)_4_Book1_Luy ke von ung nam 2011 -Thoa gui ngay 12-8-2012" xfId="246"/>
    <cellStyle name="_KT (2)_4_CAU Khanh Nam(Thi Cong)" xfId="247"/>
    <cellStyle name="_KT (2)_4_CoCauPhi (version 1)" xfId="249"/>
    <cellStyle name="_KT (2)_4_ChiHuong_ApGia" xfId="248"/>
    <cellStyle name="_KT (2)_4_DAU NOI PL-CL TAI PHU LAMHC" xfId="250"/>
    <cellStyle name="_KT (2)_4_DAU NOI PL-CL TAI PHU LAMHC_Book1" xfId="251"/>
    <cellStyle name="_KT (2)_4_DU TRU VAT TU" xfId="252"/>
    <cellStyle name="_KT (2)_4_Ha Nam" xfId="253"/>
    <cellStyle name="_KT (2)_4_Lora-tungchau" xfId="254"/>
    <cellStyle name="_KT (2)_4_Lora-tungchau_Book1" xfId="255"/>
    <cellStyle name="_KT (2)_4_Luy ke von ung nam 2011 -Thoa gui ngay 12-8-2012" xfId="256"/>
    <cellStyle name="_KT (2)_4_NhanCong" xfId="257"/>
    <cellStyle name="_KT (2)_4_phu luc tong ket tinh hinh TH giai doan 03-10 (ngay 30)" xfId="258"/>
    <cellStyle name="_KT (2)_4_Qt-HT3PQ1(CauKho)" xfId="259"/>
    <cellStyle name="_KT (2)_4_Qt-HT3PQ1(CauKho)_Book1" xfId="260"/>
    <cellStyle name="_KT (2)_4_Sheet1" xfId="261"/>
    <cellStyle name="_KT (2)_4_TG-TH" xfId="262"/>
    <cellStyle name="_KT (2)_4_TG-TH_Book1" xfId="263"/>
    <cellStyle name="_KT (2)_4_ÿÿÿÿÿ" xfId="264"/>
    <cellStyle name="_KT (2)_4_ÿÿÿÿÿ_Bieu mau cong trinh khoi cong moi 3-4" xfId="265"/>
    <cellStyle name="_KT (2)_4_ÿÿÿÿÿ_Bieu3ODA" xfId="266"/>
    <cellStyle name="_KT (2)_4_ÿÿÿÿÿ_Ha Nam" xfId="267"/>
    <cellStyle name="_KT (2)_5" xfId="268"/>
    <cellStyle name="_KT (2)_5_ApGiaVatTu_cayxanh_latgach" xfId="269"/>
    <cellStyle name="_KT (2)_5_BANG TONG HOP TINH HINH THANH QUYET TOAN (MOI I)" xfId="270"/>
    <cellStyle name="_KT (2)_5_BAO GIA NGAY 24-10-08 (co dam)" xfId="271"/>
    <cellStyle name="_KT (2)_5_BC  NAM 2007" xfId="272"/>
    <cellStyle name="_KT (2)_5_BC CV 6403 BKHĐT" xfId="273"/>
    <cellStyle name="_KT (2)_5_BC NQ11-CP - chinh sua lai" xfId="274"/>
    <cellStyle name="_KT (2)_5_BC NQ11-CP-Quynh sau bieu so3" xfId="275"/>
    <cellStyle name="_KT (2)_5_BC_NQ11-CP_-_Thao_sua_lai" xfId="276"/>
    <cellStyle name="_KT (2)_5_Bieu mau cong trinh khoi cong moi 3-4" xfId="277"/>
    <cellStyle name="_KT (2)_5_Bieu3ODA" xfId="278"/>
    <cellStyle name="_KT (2)_5_Book1" xfId="279"/>
    <cellStyle name="_KT (2)_5_Book1_1" xfId="280"/>
    <cellStyle name="_KT (2)_5_Book1_1_BC CV 6403 BKHĐT" xfId="281"/>
    <cellStyle name="_KT (2)_5_Book1_1_Bieu mau cong trinh khoi cong moi 3-4" xfId="282"/>
    <cellStyle name="_KT (2)_5_Book1_1_Book1" xfId="283"/>
    <cellStyle name="_KT (2)_5_Book1_1_Luy ke von ung nam 2011 -Thoa gui ngay 12-8-2012" xfId="284"/>
    <cellStyle name="_KT (2)_5_Book1_2" xfId="285"/>
    <cellStyle name="_KT (2)_5_Book1_2_BC CV 6403 BKHĐT" xfId="286"/>
    <cellStyle name="_KT (2)_5_Book1_2_Luy ke von ung nam 2011 -Thoa gui ngay 12-8-2012" xfId="287"/>
    <cellStyle name="_KT (2)_5_Book1_BC CV 6403 BKHĐT" xfId="288"/>
    <cellStyle name="_KT (2)_5_Book1_Bieu mau cong trinh khoi cong moi 3-4" xfId="289"/>
    <cellStyle name="_KT (2)_5_Book1_Luy ke von ung nam 2011 -Thoa gui ngay 12-8-2012" xfId="290"/>
    <cellStyle name="_KT (2)_5_CAU Khanh Nam(Thi Cong)" xfId="291"/>
    <cellStyle name="_KT (2)_5_CoCauPhi (version 1)" xfId="293"/>
    <cellStyle name="_KT (2)_5_ChiHuong_ApGia" xfId="292"/>
    <cellStyle name="_KT (2)_5_DAU NOI PL-CL TAI PHU LAMHC" xfId="294"/>
    <cellStyle name="_KT (2)_5_DAU NOI PL-CL TAI PHU LAMHC_Book1" xfId="295"/>
    <cellStyle name="_KT (2)_5_DU TRU VAT TU" xfId="296"/>
    <cellStyle name="_KT (2)_5_Ha Nam" xfId="297"/>
    <cellStyle name="_KT (2)_5_Lora-tungchau" xfId="298"/>
    <cellStyle name="_KT (2)_5_Lora-tungchau_Book1" xfId="299"/>
    <cellStyle name="_KT (2)_5_Luy ke von ung nam 2011 -Thoa gui ngay 12-8-2012" xfId="300"/>
    <cellStyle name="_KT (2)_5_NhanCong" xfId="301"/>
    <cellStyle name="_KT (2)_5_phu luc tong ket tinh hinh TH giai doan 03-10 (ngay 30)" xfId="302"/>
    <cellStyle name="_KT (2)_5_Qt-HT3PQ1(CauKho)" xfId="303"/>
    <cellStyle name="_KT (2)_5_Qt-HT3PQ1(CauKho)_Book1" xfId="304"/>
    <cellStyle name="_KT (2)_5_Sheet1" xfId="305"/>
    <cellStyle name="_KT (2)_5_ÿÿÿÿÿ" xfId="306"/>
    <cellStyle name="_KT (2)_5_ÿÿÿÿÿ_Bieu mau cong trinh khoi cong moi 3-4" xfId="307"/>
    <cellStyle name="_KT (2)_5_ÿÿÿÿÿ_Bieu3ODA" xfId="308"/>
    <cellStyle name="_KT (2)_5_ÿÿÿÿÿ_Ha Nam" xfId="309"/>
    <cellStyle name="_KT (2)_BC  NAM 2007" xfId="310"/>
    <cellStyle name="_KT (2)_Bieu mau cong trinh khoi cong moi 3-4" xfId="311"/>
    <cellStyle name="_KT (2)_Bieu3ODA" xfId="312"/>
    <cellStyle name="_KT (2)_Book1" xfId="313"/>
    <cellStyle name="_KT (2)_Book1_1" xfId="314"/>
    <cellStyle name="_KT (2)_Ha Nam" xfId="315"/>
    <cellStyle name="_KT (2)_Lora-tungchau" xfId="316"/>
    <cellStyle name="_KT (2)_Lora-tungchau_Book1" xfId="317"/>
    <cellStyle name="_KT (2)_PERSONAL" xfId="318"/>
    <cellStyle name="_KT (2)_PERSONAL_BC CV 6403 BKHĐT" xfId="319"/>
    <cellStyle name="_KT (2)_PERSONAL_Bieu mau cong trinh khoi cong moi 3-4" xfId="320"/>
    <cellStyle name="_KT (2)_PERSONAL_Book1" xfId="321"/>
    <cellStyle name="_KT (2)_PERSONAL_Luy ke von ung nam 2011 -Thoa gui ngay 12-8-2012" xfId="322"/>
    <cellStyle name="_KT (2)_PERSONAL_Tong hop KHCB 2001" xfId="323"/>
    <cellStyle name="_KT (2)_Qt-HT3PQ1(CauKho)" xfId="324"/>
    <cellStyle name="_KT (2)_Qt-HT3PQ1(CauKho)_Book1" xfId="325"/>
    <cellStyle name="_KT (2)_TG-TH" xfId="326"/>
    <cellStyle name="_KT (2)_TG-TH_Book1" xfId="327"/>
    <cellStyle name="_KT (2)_ÿÿÿÿÿ" xfId="328"/>
    <cellStyle name="_KT_TG" xfId="329"/>
    <cellStyle name="_KT_TG_1" xfId="330"/>
    <cellStyle name="_KT_TG_1_ApGiaVatTu_cayxanh_latgach" xfId="331"/>
    <cellStyle name="_KT_TG_1_BANG TONG HOP TINH HINH THANH QUYET TOAN (MOI I)" xfId="332"/>
    <cellStyle name="_KT_TG_1_BAO GIA NGAY 24-10-08 (co dam)" xfId="333"/>
    <cellStyle name="_KT_TG_1_BC  NAM 2007" xfId="334"/>
    <cellStyle name="_KT_TG_1_BC CV 6403 BKHĐT" xfId="335"/>
    <cellStyle name="_KT_TG_1_BC NQ11-CP - chinh sua lai" xfId="336"/>
    <cellStyle name="_KT_TG_1_BC NQ11-CP-Quynh sau bieu so3" xfId="337"/>
    <cellStyle name="_KT_TG_1_BC_NQ11-CP_-_Thao_sua_lai" xfId="338"/>
    <cellStyle name="_KT_TG_1_Bieu mau cong trinh khoi cong moi 3-4" xfId="339"/>
    <cellStyle name="_KT_TG_1_Bieu3ODA" xfId="340"/>
    <cellStyle name="_KT_TG_1_Book1" xfId="341"/>
    <cellStyle name="_KT_TG_1_Book1_1" xfId="342"/>
    <cellStyle name="_KT_TG_1_Book1_1_BC CV 6403 BKHĐT" xfId="343"/>
    <cellStyle name="_KT_TG_1_Book1_1_Bieu mau cong trinh khoi cong moi 3-4" xfId="344"/>
    <cellStyle name="_KT_TG_1_Book1_1_Book1" xfId="345"/>
    <cellStyle name="_KT_TG_1_Book1_1_Luy ke von ung nam 2011 -Thoa gui ngay 12-8-2012" xfId="346"/>
    <cellStyle name="_KT_TG_1_Book1_2" xfId="347"/>
    <cellStyle name="_KT_TG_1_Book1_2_BC CV 6403 BKHĐT" xfId="348"/>
    <cellStyle name="_KT_TG_1_Book1_2_Luy ke von ung nam 2011 -Thoa gui ngay 12-8-2012" xfId="349"/>
    <cellStyle name="_KT_TG_1_Book1_BC CV 6403 BKHĐT" xfId="350"/>
    <cellStyle name="_KT_TG_1_Book1_Bieu mau cong trinh khoi cong moi 3-4" xfId="351"/>
    <cellStyle name="_KT_TG_1_Book1_Luy ke von ung nam 2011 -Thoa gui ngay 12-8-2012" xfId="352"/>
    <cellStyle name="_KT_TG_1_CAU Khanh Nam(Thi Cong)" xfId="353"/>
    <cellStyle name="_KT_TG_1_CoCauPhi (version 1)" xfId="355"/>
    <cellStyle name="_KT_TG_1_ChiHuong_ApGia" xfId="354"/>
    <cellStyle name="_KT_TG_1_DAU NOI PL-CL TAI PHU LAMHC" xfId="356"/>
    <cellStyle name="_KT_TG_1_DAU NOI PL-CL TAI PHU LAMHC_Book1" xfId="357"/>
    <cellStyle name="_KT_TG_1_DU TRU VAT TU" xfId="358"/>
    <cellStyle name="_KT_TG_1_Ha Nam" xfId="359"/>
    <cellStyle name="_KT_TG_1_Lora-tungchau" xfId="360"/>
    <cellStyle name="_KT_TG_1_Lora-tungchau_Book1" xfId="361"/>
    <cellStyle name="_KT_TG_1_Luy ke von ung nam 2011 -Thoa gui ngay 12-8-2012" xfId="362"/>
    <cellStyle name="_KT_TG_1_NhanCong" xfId="363"/>
    <cellStyle name="_KT_TG_1_phu luc tong ket tinh hinh TH giai doan 03-10 (ngay 30)" xfId="364"/>
    <cellStyle name="_KT_TG_1_Qt-HT3PQ1(CauKho)" xfId="365"/>
    <cellStyle name="_KT_TG_1_Qt-HT3PQ1(CauKho)_Book1" xfId="366"/>
    <cellStyle name="_KT_TG_1_Sheet1" xfId="367"/>
    <cellStyle name="_KT_TG_1_ÿÿÿÿÿ" xfId="368"/>
    <cellStyle name="_KT_TG_1_ÿÿÿÿÿ_Bieu mau cong trinh khoi cong moi 3-4" xfId="369"/>
    <cellStyle name="_KT_TG_1_ÿÿÿÿÿ_Bieu3ODA" xfId="370"/>
    <cellStyle name="_KT_TG_1_ÿÿÿÿÿ_Ha Nam" xfId="371"/>
    <cellStyle name="_KT_TG_2" xfId="372"/>
    <cellStyle name="_KT_TG_2_ApGiaVatTu_cayxanh_latgach" xfId="373"/>
    <cellStyle name="_KT_TG_2_BANG TONG HOP TINH HINH THANH QUYET TOAN (MOI I)" xfId="374"/>
    <cellStyle name="_KT_TG_2_BAO GIA NGAY 24-10-08 (co dam)" xfId="375"/>
    <cellStyle name="_KT_TG_2_BC  NAM 2007" xfId="376"/>
    <cellStyle name="_KT_TG_2_BC CV 6403 BKHĐT" xfId="377"/>
    <cellStyle name="_KT_TG_2_BC NQ11-CP - chinh sua lai" xfId="378"/>
    <cellStyle name="_KT_TG_2_BC NQ11-CP-Quynh sau bieu so3" xfId="379"/>
    <cellStyle name="_KT_TG_2_BC_NQ11-CP_-_Thao_sua_lai" xfId="380"/>
    <cellStyle name="_KT_TG_2_Bieu mau cong trinh khoi cong moi 3-4" xfId="381"/>
    <cellStyle name="_KT_TG_2_Bieu3ODA" xfId="382"/>
    <cellStyle name="_KT_TG_2_Book1" xfId="383"/>
    <cellStyle name="_KT_TG_2_Book1_1" xfId="384"/>
    <cellStyle name="_KT_TG_2_Book1_1_BC CV 6403 BKHĐT" xfId="385"/>
    <cellStyle name="_KT_TG_2_Book1_1_Bieu mau cong trinh khoi cong moi 3-4" xfId="386"/>
    <cellStyle name="_KT_TG_2_Book1_1_Book1" xfId="387"/>
    <cellStyle name="_KT_TG_2_Book1_1_Luy ke von ung nam 2011 -Thoa gui ngay 12-8-2012" xfId="388"/>
    <cellStyle name="_KT_TG_2_Book1_2" xfId="389"/>
    <cellStyle name="_KT_TG_2_Book1_2_BC CV 6403 BKHĐT" xfId="390"/>
    <cellStyle name="_KT_TG_2_Book1_2_Luy ke von ung nam 2011 -Thoa gui ngay 12-8-2012" xfId="391"/>
    <cellStyle name="_KT_TG_2_Book1_BC CV 6403 BKHĐT" xfId="392"/>
    <cellStyle name="_KT_TG_2_Book1_Bieu mau cong trinh khoi cong moi 3-4" xfId="393"/>
    <cellStyle name="_KT_TG_2_Book1_Luy ke von ung nam 2011 -Thoa gui ngay 12-8-2012" xfId="394"/>
    <cellStyle name="_KT_TG_2_CAU Khanh Nam(Thi Cong)" xfId="395"/>
    <cellStyle name="_KT_TG_2_CoCauPhi (version 1)" xfId="397"/>
    <cellStyle name="_KT_TG_2_ChiHuong_ApGia" xfId="396"/>
    <cellStyle name="_KT_TG_2_DAU NOI PL-CL TAI PHU LAMHC" xfId="398"/>
    <cellStyle name="_KT_TG_2_DAU NOI PL-CL TAI PHU LAMHC_Book1" xfId="399"/>
    <cellStyle name="_KT_TG_2_DU TRU VAT TU" xfId="400"/>
    <cellStyle name="_KT_TG_2_Ha Nam" xfId="401"/>
    <cellStyle name="_KT_TG_2_Lora-tungchau" xfId="402"/>
    <cellStyle name="_KT_TG_2_Lora-tungchau_Book1" xfId="403"/>
    <cellStyle name="_KT_TG_2_Luy ke von ung nam 2011 -Thoa gui ngay 12-8-2012" xfId="404"/>
    <cellStyle name="_KT_TG_2_NhanCong" xfId="405"/>
    <cellStyle name="_KT_TG_2_phu luc tong ket tinh hinh TH giai doan 03-10 (ngay 30)" xfId="406"/>
    <cellStyle name="_KT_TG_2_Qt-HT3PQ1(CauKho)" xfId="407"/>
    <cellStyle name="_KT_TG_2_Qt-HT3PQ1(CauKho)_Book1" xfId="408"/>
    <cellStyle name="_KT_TG_2_Sheet1" xfId="409"/>
    <cellStyle name="_KT_TG_2_ÿÿÿÿÿ" xfId="410"/>
    <cellStyle name="_KT_TG_2_ÿÿÿÿÿ_Bieu mau cong trinh khoi cong moi 3-4" xfId="411"/>
    <cellStyle name="_KT_TG_2_ÿÿÿÿÿ_Bieu3ODA" xfId="412"/>
    <cellStyle name="_KT_TG_2_ÿÿÿÿÿ_Ha Nam" xfId="413"/>
    <cellStyle name="_KT_TG_3" xfId="414"/>
    <cellStyle name="_KT_TG_3_Book1" xfId="415"/>
    <cellStyle name="_KT_TG_4" xfId="416"/>
    <cellStyle name="_KT_TG_4_Book1" xfId="417"/>
    <cellStyle name="_KT_TG_4_Lora-tungchau" xfId="418"/>
    <cellStyle name="_KT_TG_4_Lora-tungchau_Book1" xfId="419"/>
    <cellStyle name="_KT_TG_4_Qt-HT3PQ1(CauKho)" xfId="420"/>
    <cellStyle name="_KT_TG_4_Qt-HT3PQ1(CauKho)_Book1" xfId="421"/>
    <cellStyle name="_KT_TG_Book1" xfId="422"/>
    <cellStyle name="_Kh ql62 (2010) 11-09" xfId="150"/>
    <cellStyle name="_KHPS thang 5_KV2(chinh sua)" xfId="151"/>
    <cellStyle name="_Khung 2012" xfId="152"/>
    <cellStyle name="_Lora-tungchau" xfId="423"/>
    <cellStyle name="_Lora-tungchau_Book1" xfId="424"/>
    <cellStyle name="_Luy ke von ung nam 2011 -Thoa gui ngay 12-8-2012" xfId="425"/>
    <cellStyle name="_MAU BAO CAO THANG MOI CHO ANH DUONG.xls-cu jut" xfId="426"/>
    <cellStyle name="_mau so 3" xfId="427"/>
    <cellStyle name="_MauThanTKKT-goi7-DonGia2143(vl t7)" xfId="428"/>
    <cellStyle name="_Ngay 10-5" xfId="429"/>
    <cellStyle name="_nghiem thu di lang ba tieu sua" xfId="430"/>
    <cellStyle name="_Nhu cau von ung truoc 2011 Tha h Hoa + Nge An gui TW" xfId="431"/>
    <cellStyle name="_PERSONAL" xfId="432"/>
    <cellStyle name="_PERSONAL_BC CV 6403 BKHĐT" xfId="433"/>
    <cellStyle name="_PERSONAL_Bieu mau cong trinh khoi cong moi 3-4" xfId="434"/>
    <cellStyle name="_PERSONAL_Book1" xfId="435"/>
    <cellStyle name="_PERSONAL_Luy ke von ung nam 2011 -Thoa gui ngay 12-8-2012" xfId="436"/>
    <cellStyle name="_PERSONAL_Tong hop KHCB 2001" xfId="437"/>
    <cellStyle name="_Pluc BTS KV2" xfId="441"/>
    <cellStyle name="_phong bo mon22" xfId="438"/>
    <cellStyle name="_PHU LUC kv2" xfId="439"/>
    <cellStyle name="_phu luc tong ket tinh hinh TH giai doan 03-10 (ngay 30)" xfId="440"/>
    <cellStyle name="_Q TOAN  SCTX QL.62 QUI I ( oanh)" xfId="442"/>
    <cellStyle name="_Q TOAN  SCTX QL.62 QUI II ( oanh)" xfId="443"/>
    <cellStyle name="_QNM" xfId="444"/>
    <cellStyle name="_QNM - de xuat vat tu 6 tahng cuoi nam 2009" xfId="445"/>
    <cellStyle name="_QT SCTXQL62_QT1 (Cty QL)" xfId="446"/>
    <cellStyle name="_Qt-HT3PQ1(CauKho)" xfId="447"/>
    <cellStyle name="_Qt-HT3PQ1(CauKho)_Book1" xfId="448"/>
    <cellStyle name="_S200,..-H" xfId="449"/>
    <cellStyle name="_S200,..-H_9-7" xfId="450"/>
    <cellStyle name="_S200,..-H_BAO CAO Moi" xfId="451"/>
    <cellStyle name="_S200,..-H_BC Tong KV1 Binh" xfId="452"/>
    <cellStyle name="_S200,..-H_BTS" xfId="453"/>
    <cellStyle name="_S200,..-H_KV2" xfId="454"/>
    <cellStyle name="_S200,..-H_Phong HT Bao Cao" xfId="455"/>
    <cellStyle name="_S200,..-H_QH xa ok.xls" xfId="456"/>
    <cellStyle name="_S200,..-H_QHX" xfId="457"/>
    <cellStyle name="_S200,..-H_QHX Moi" xfId="458"/>
    <cellStyle name="_S200,..-H_Quang Hoa Xa Tong The lam hang ngay" xfId="459"/>
    <cellStyle name="_Sheet1" xfId="460"/>
    <cellStyle name="_Sheet2" xfId="461"/>
    <cellStyle name="_TG-TH" xfId="462"/>
    <cellStyle name="_TG-TH_1" xfId="463"/>
    <cellStyle name="_TG-TH_1_ApGiaVatTu_cayxanh_latgach" xfId="464"/>
    <cellStyle name="_TG-TH_1_BANG TONG HOP TINH HINH THANH QUYET TOAN (MOI I)" xfId="465"/>
    <cellStyle name="_TG-TH_1_BAO GIA NGAY 24-10-08 (co dam)" xfId="466"/>
    <cellStyle name="_TG-TH_1_BC  NAM 2007" xfId="467"/>
    <cellStyle name="_TG-TH_1_BC CV 6403 BKHĐT" xfId="468"/>
    <cellStyle name="_TG-TH_1_BC NQ11-CP - chinh sua lai" xfId="469"/>
    <cellStyle name="_TG-TH_1_BC NQ11-CP-Quynh sau bieu so3" xfId="470"/>
    <cellStyle name="_TG-TH_1_BC_NQ11-CP_-_Thao_sua_lai" xfId="471"/>
    <cellStyle name="_TG-TH_1_Bieu mau cong trinh khoi cong moi 3-4" xfId="472"/>
    <cellStyle name="_TG-TH_1_Bieu3ODA" xfId="473"/>
    <cellStyle name="_TG-TH_1_Book1" xfId="474"/>
    <cellStyle name="_TG-TH_1_Book1_1" xfId="475"/>
    <cellStyle name="_TG-TH_1_Book1_1_BC CV 6403 BKHĐT" xfId="476"/>
    <cellStyle name="_TG-TH_1_Book1_1_Bieu mau cong trinh khoi cong moi 3-4" xfId="477"/>
    <cellStyle name="_TG-TH_1_Book1_1_Book1" xfId="478"/>
    <cellStyle name="_TG-TH_1_Book1_1_Luy ke von ung nam 2011 -Thoa gui ngay 12-8-2012" xfId="479"/>
    <cellStyle name="_TG-TH_1_Book1_2" xfId="480"/>
    <cellStyle name="_TG-TH_1_Book1_2_BC CV 6403 BKHĐT" xfId="481"/>
    <cellStyle name="_TG-TH_1_Book1_2_Luy ke von ung nam 2011 -Thoa gui ngay 12-8-2012" xfId="482"/>
    <cellStyle name="_TG-TH_1_Book1_BC CV 6403 BKHĐT" xfId="483"/>
    <cellStyle name="_TG-TH_1_Book1_Bieu mau cong trinh khoi cong moi 3-4" xfId="484"/>
    <cellStyle name="_TG-TH_1_Book1_Luy ke von ung nam 2011 -Thoa gui ngay 12-8-2012" xfId="485"/>
    <cellStyle name="_TG-TH_1_CAU Khanh Nam(Thi Cong)" xfId="486"/>
    <cellStyle name="_TG-TH_1_CoCauPhi (version 1)" xfId="488"/>
    <cellStyle name="_TG-TH_1_ChiHuong_ApGia" xfId="487"/>
    <cellStyle name="_TG-TH_1_DAU NOI PL-CL TAI PHU LAMHC" xfId="489"/>
    <cellStyle name="_TG-TH_1_DAU NOI PL-CL TAI PHU LAMHC_Book1" xfId="490"/>
    <cellStyle name="_TG-TH_1_DU TRU VAT TU" xfId="491"/>
    <cellStyle name="_TG-TH_1_Ha Nam" xfId="492"/>
    <cellStyle name="_TG-TH_1_Lora-tungchau" xfId="493"/>
    <cellStyle name="_TG-TH_1_Lora-tungchau_Book1" xfId="494"/>
    <cellStyle name="_TG-TH_1_Luy ke von ung nam 2011 -Thoa gui ngay 12-8-2012" xfId="495"/>
    <cellStyle name="_TG-TH_1_NhanCong" xfId="496"/>
    <cellStyle name="_TG-TH_1_phu luc tong ket tinh hinh TH giai doan 03-10 (ngay 30)" xfId="497"/>
    <cellStyle name="_TG-TH_1_Qt-HT3PQ1(CauKho)" xfId="498"/>
    <cellStyle name="_TG-TH_1_Qt-HT3PQ1(CauKho)_Book1" xfId="499"/>
    <cellStyle name="_TG-TH_1_Sheet1" xfId="500"/>
    <cellStyle name="_TG-TH_1_ÿÿÿÿÿ" xfId="501"/>
    <cellStyle name="_TG-TH_1_ÿÿÿÿÿ_Bieu mau cong trinh khoi cong moi 3-4" xfId="502"/>
    <cellStyle name="_TG-TH_1_ÿÿÿÿÿ_Bieu3ODA" xfId="503"/>
    <cellStyle name="_TG-TH_1_ÿÿÿÿÿ_Ha Nam" xfId="504"/>
    <cellStyle name="_TG-TH_2" xfId="505"/>
    <cellStyle name="_TG-TH_2_ApGiaVatTu_cayxanh_latgach" xfId="506"/>
    <cellStyle name="_TG-TH_2_BANG TONG HOP TINH HINH THANH QUYET TOAN (MOI I)" xfId="507"/>
    <cellStyle name="_TG-TH_2_BAO GIA NGAY 24-10-08 (co dam)" xfId="508"/>
    <cellStyle name="_TG-TH_2_BC  NAM 2007" xfId="509"/>
    <cellStyle name="_TG-TH_2_BC CV 6403 BKHĐT" xfId="510"/>
    <cellStyle name="_TG-TH_2_BC NQ11-CP - chinh sua lai" xfId="511"/>
    <cellStyle name="_TG-TH_2_BC NQ11-CP-Quynh sau bieu so3" xfId="512"/>
    <cellStyle name="_TG-TH_2_BC_NQ11-CP_-_Thao_sua_lai" xfId="513"/>
    <cellStyle name="_TG-TH_2_Bieu mau cong trinh khoi cong moi 3-4" xfId="514"/>
    <cellStyle name="_TG-TH_2_Bieu3ODA" xfId="515"/>
    <cellStyle name="_TG-TH_2_Book1" xfId="516"/>
    <cellStyle name="_TG-TH_2_Book1_1" xfId="517"/>
    <cellStyle name="_TG-TH_2_Book1_1_BC CV 6403 BKHĐT" xfId="518"/>
    <cellStyle name="_TG-TH_2_Book1_1_Bieu mau cong trinh khoi cong moi 3-4" xfId="519"/>
    <cellStyle name="_TG-TH_2_Book1_1_Book1" xfId="520"/>
    <cellStyle name="_TG-TH_2_Book1_1_Luy ke von ung nam 2011 -Thoa gui ngay 12-8-2012" xfId="521"/>
    <cellStyle name="_TG-TH_2_Book1_2" xfId="522"/>
    <cellStyle name="_TG-TH_2_Book1_2_BC CV 6403 BKHĐT" xfId="523"/>
    <cellStyle name="_TG-TH_2_Book1_2_Luy ke von ung nam 2011 -Thoa gui ngay 12-8-2012" xfId="524"/>
    <cellStyle name="_TG-TH_2_Book1_BC CV 6403 BKHĐT" xfId="525"/>
    <cellStyle name="_TG-TH_2_Book1_Bieu mau cong trinh khoi cong moi 3-4" xfId="526"/>
    <cellStyle name="_TG-TH_2_Book1_Luy ke von ung nam 2011 -Thoa gui ngay 12-8-2012" xfId="527"/>
    <cellStyle name="_TG-TH_2_CAU Khanh Nam(Thi Cong)" xfId="528"/>
    <cellStyle name="_TG-TH_2_CoCauPhi (version 1)" xfId="530"/>
    <cellStyle name="_TG-TH_2_ChiHuong_ApGia" xfId="529"/>
    <cellStyle name="_TG-TH_2_DAU NOI PL-CL TAI PHU LAMHC" xfId="531"/>
    <cellStyle name="_TG-TH_2_DAU NOI PL-CL TAI PHU LAMHC_Book1" xfId="532"/>
    <cellStyle name="_TG-TH_2_DU TRU VAT TU" xfId="533"/>
    <cellStyle name="_TG-TH_2_Ha Nam" xfId="534"/>
    <cellStyle name="_TG-TH_2_Lora-tungchau" xfId="535"/>
    <cellStyle name="_TG-TH_2_Lora-tungchau_Book1" xfId="536"/>
    <cellStyle name="_TG-TH_2_Luy ke von ung nam 2011 -Thoa gui ngay 12-8-2012" xfId="537"/>
    <cellStyle name="_TG-TH_2_NhanCong" xfId="538"/>
    <cellStyle name="_TG-TH_2_phu luc tong ket tinh hinh TH giai doan 03-10 (ngay 30)" xfId="539"/>
    <cellStyle name="_TG-TH_2_Qt-HT3PQ1(CauKho)" xfId="540"/>
    <cellStyle name="_TG-TH_2_Qt-HT3PQ1(CauKho)_Book1" xfId="541"/>
    <cellStyle name="_TG-TH_2_Sheet1" xfId="542"/>
    <cellStyle name="_TG-TH_2_ÿÿÿÿÿ" xfId="543"/>
    <cellStyle name="_TG-TH_2_ÿÿÿÿÿ_Bieu mau cong trinh khoi cong moi 3-4" xfId="544"/>
    <cellStyle name="_TG-TH_2_ÿÿÿÿÿ_Bieu3ODA" xfId="545"/>
    <cellStyle name="_TG-TH_2_ÿÿÿÿÿ_Ha Nam" xfId="546"/>
    <cellStyle name="_TG-TH_3" xfId="547"/>
    <cellStyle name="_TG-TH_3_Book1" xfId="548"/>
    <cellStyle name="_TG-TH_3_Lora-tungchau" xfId="549"/>
    <cellStyle name="_TG-TH_3_Lora-tungchau_Book1" xfId="550"/>
    <cellStyle name="_TG-TH_3_Qt-HT3PQ1(CauKho)" xfId="551"/>
    <cellStyle name="_TG-TH_3_Qt-HT3PQ1(CauKho)_Book1" xfId="552"/>
    <cellStyle name="_TG-TH_4" xfId="553"/>
    <cellStyle name="_TG-TH_4_Book1" xfId="554"/>
    <cellStyle name="_TG-TH_Book1" xfId="555"/>
    <cellStyle name="_Tinh" xfId="563"/>
    <cellStyle name="_Tong dutoan PP LAHAI" xfId="565"/>
    <cellStyle name="_Tong hop may cheu nganh 1" xfId="566"/>
    <cellStyle name="_tổng hợp nhu cầu vật tư, thiết bị 6 tháng cuối năm kv2" xfId="567"/>
    <cellStyle name="_tờ trinh-lan" xfId="564"/>
    <cellStyle name="_TPCP GT-24-5-Mien Nui" xfId="568"/>
    <cellStyle name="_TTBVP" xfId="569"/>
    <cellStyle name="_TH  PTM hang ngay" xfId="556"/>
    <cellStyle name="_TH BTST5 " xfId="557"/>
    <cellStyle name="_TH nhu cau Vtu, tbi 30.6.09" xfId="558"/>
    <cellStyle name="_Theo doi BC KH15 tong KV2" xfId="559"/>
    <cellStyle name="_THU-29-7" xfId="560"/>
    <cellStyle name="_Thuc thu cuoc T12 ky 11 -ADSL (version 1)" xfId="561"/>
    <cellStyle name="_thucnhap" xfId="562"/>
    <cellStyle name="_ung truoc 2011 NSTW Thanh Hoa + Nge An gui Thu 12-5" xfId="570"/>
    <cellStyle name="_ung truoc cua long an (6-5-2010)" xfId="571"/>
    <cellStyle name="_Ung von nam 2011 vung TNB - Doan Cong tac (12-5-2010)" xfId="572"/>
    <cellStyle name="_Ung von nam 2011 vung TNB - Doan Cong tac (12-5-2010)_Cong trinh co y kien LD_Dang_NN_2011-Tay nguyen-9-10" xfId="573"/>
    <cellStyle name="_Ung von nam 2011 vung TNB - Doan Cong tac (12-5-2010)_TN - Ho tro khac 2011" xfId="574"/>
    <cellStyle name="_Vu KHGD" xfId="575"/>
    <cellStyle name="_ÿÿÿÿÿ" xfId="576"/>
    <cellStyle name="_ÿÿÿÿÿ_Bieu mau cong trinh khoi cong moi 3-4" xfId="577"/>
    <cellStyle name="_ÿÿÿÿÿ_Bieu3ODA" xfId="578"/>
    <cellStyle name="_ÿÿÿÿÿ_Ha Nam" xfId="579"/>
    <cellStyle name="_ÿÿÿÿÿ_Kh ql62 (2010) 11-09" xfId="580"/>
    <cellStyle name="_ÿÿÿÿÿ_Khung 2012" xfId="581"/>
    <cellStyle name="~1" xfId="582"/>
    <cellStyle name="’Ê‰Ý [0.00]_laroux" xfId="583"/>
    <cellStyle name="’Ê‰Ý_laroux" xfId="584"/>
    <cellStyle name="¤@¯ë_pldt" xfId="585"/>
    <cellStyle name="•W?_Format" xfId="586"/>
    <cellStyle name="•W€_’·Šú‰p•¶" xfId="587"/>
    <cellStyle name="•W_¯–ì" xfId="588"/>
    <cellStyle name="W_BxiXg (2)" xfId="589"/>
    <cellStyle name="0" xfId="590"/>
    <cellStyle name="0,0_x000d__x000a_NA_x000d__x000a_" xfId="591"/>
    <cellStyle name="0.0" xfId="592"/>
    <cellStyle name="0.00" xfId="593"/>
    <cellStyle name="1" xfId="594"/>
    <cellStyle name="1_07" xfId="595"/>
    <cellStyle name="1_BAO GIA NGAY 24-10-08 (co dam)" xfId="596"/>
    <cellStyle name="1_Book1" xfId="597"/>
    <cellStyle name="1_Book1_1" xfId="598"/>
    <cellStyle name="1_Book1_Book1" xfId="599"/>
    <cellStyle name="1_Book1_HC  QNM009(van dc1)" xfId="600"/>
    <cellStyle name="1_Book1_KH hoach keo quang thang 5" xfId="601"/>
    <cellStyle name="1_Cau thuy dien Ban La (Cu Anh)" xfId="602"/>
    <cellStyle name="1_Cong trinh co y kien LD_Dang_NN_2011-Tay nguyen-9-10" xfId="603"/>
    <cellStyle name="1_danh_ba_DT_cac_Tinh" xfId="604"/>
    <cellStyle name="1_Du Lieu ADSL Va PSTN" xfId="605"/>
    <cellStyle name="1_Du toan 558 (Km17+508.12 - Km 22)" xfId="606"/>
    <cellStyle name="1_du toan qnm184" xfId="607"/>
    <cellStyle name="1_Gia_VLQL48_duyet " xfId="608"/>
    <cellStyle name="1_HC  QNM009(van dc1)" xfId="609"/>
    <cellStyle name="1_KE HOACH DI TINH thang 10-2007" xfId="610"/>
    <cellStyle name="1_KL tang 08-09" xfId="613"/>
    <cellStyle name="1_KlQdinhduyet" xfId="614"/>
    <cellStyle name="1_Kh ql62 (2010) 11-09" xfId="611"/>
    <cellStyle name="1_Khung 2012" xfId="612"/>
    <cellStyle name="1_QNM UCTT T3.2009_doi 4" xfId="615"/>
    <cellStyle name="1_TN - Ho tro khac 2011" xfId="616"/>
    <cellStyle name="1_TRUNG PMU 5" xfId="617"/>
    <cellStyle name="1_ÿÿÿÿÿ" xfId="618"/>
    <cellStyle name="1_ÿÿÿÿÿ_Bieu tong hop nhu cau ung 2011 da chon loc -Mien nui" xfId="619"/>
    <cellStyle name="1_ÿÿÿÿÿ_Kh ql62 (2010) 11-09" xfId="620"/>
    <cellStyle name="1_ÿÿÿÿÿ_Khung 2012" xfId="621"/>
    <cellStyle name="15" xfId="622"/>
    <cellStyle name="18" xfId="623"/>
    <cellStyle name="¹éºÐÀ²_      " xfId="624"/>
    <cellStyle name="2" xfId="625"/>
    <cellStyle name="2_07" xfId="626"/>
    <cellStyle name="2_Book1" xfId="627"/>
    <cellStyle name="2_Book1_1" xfId="628"/>
    <cellStyle name="2_Book1_Book1" xfId="629"/>
    <cellStyle name="2_Book1_HC  QNM009(van dc1)" xfId="630"/>
    <cellStyle name="2_Book1_KH hoach keo quang thang 5" xfId="631"/>
    <cellStyle name="2_Cau thuy dien Ban La (Cu Anh)" xfId="632"/>
    <cellStyle name="2_danh_ba_DT_cac_Tinh" xfId="633"/>
    <cellStyle name="2_Du Lieu ADSL Va PSTN" xfId="634"/>
    <cellStyle name="2_Du toan 558 (Km17+508.12 - Km 22)" xfId="635"/>
    <cellStyle name="2_du toan qnm184" xfId="636"/>
    <cellStyle name="2_Gia_VLQL48_duyet " xfId="637"/>
    <cellStyle name="2_HC  QNM009(van dc1)" xfId="638"/>
    <cellStyle name="2_KE HOACH DI TINH thang 10-2007" xfId="639"/>
    <cellStyle name="2_KL tang 08-09" xfId="640"/>
    <cellStyle name="2_KlQdinhduyet" xfId="641"/>
    <cellStyle name="2_QNM UCTT T3.2009_doi 4" xfId="642"/>
    <cellStyle name="2_TRUNG PMU 5" xfId="643"/>
    <cellStyle name="2_ÿÿÿÿÿ" xfId="644"/>
    <cellStyle name="2_ÿÿÿÿÿ_Bieu tong hop nhu cau ung 2011 da chon loc -Mien nui" xfId="645"/>
    <cellStyle name="20" xfId="646"/>
    <cellStyle name="20% - Accent1 2" xfId="647"/>
    <cellStyle name="20% - Accent1 2 2" xfId="648"/>
    <cellStyle name="20% - Accent1 3" xfId="649"/>
    <cellStyle name="20% - Accent2 2" xfId="650"/>
    <cellStyle name="20% - Accent2 2 2" xfId="651"/>
    <cellStyle name="20% - Accent2 3" xfId="652"/>
    <cellStyle name="20% - Accent3 2" xfId="653"/>
    <cellStyle name="20% - Accent3 2 2" xfId="654"/>
    <cellStyle name="20% - Accent3 3" xfId="655"/>
    <cellStyle name="20% - Accent4 2" xfId="656"/>
    <cellStyle name="20% - Accent4 2 2" xfId="657"/>
    <cellStyle name="20% - Accent4 3" xfId="658"/>
    <cellStyle name="20% - Accent5 2" xfId="659"/>
    <cellStyle name="20% - Accent5 2 2" xfId="660"/>
    <cellStyle name="20% - Accent5 3" xfId="661"/>
    <cellStyle name="20% - Accent6 2" xfId="662"/>
    <cellStyle name="20% - Accent6 2 2" xfId="663"/>
    <cellStyle name="20% - Accent6 3" xfId="664"/>
    <cellStyle name="20% - Nhấn1" xfId="665"/>
    <cellStyle name="20% - Nhấn2" xfId="666"/>
    <cellStyle name="20% - Nhấn3" xfId="667"/>
    <cellStyle name="20% - Nhấn4" xfId="668"/>
    <cellStyle name="20% - Nhấn5" xfId="669"/>
    <cellStyle name="20% - Nhấn6" xfId="670"/>
    <cellStyle name="-2001" xfId="671"/>
    <cellStyle name="3" xfId="672"/>
    <cellStyle name="3_07" xfId="673"/>
    <cellStyle name="3_Book1" xfId="674"/>
    <cellStyle name="3_Book1_1" xfId="675"/>
    <cellStyle name="3_Book1_Book1" xfId="676"/>
    <cellStyle name="3_Book1_HC  QNM009(van dc1)" xfId="677"/>
    <cellStyle name="3_Book1_KH hoach keo quang thang 5" xfId="678"/>
    <cellStyle name="3_Cau thuy dien Ban La (Cu Anh)" xfId="679"/>
    <cellStyle name="3_danh_ba_DT_cac_Tinh" xfId="680"/>
    <cellStyle name="3_Du Lieu ADSL Va PSTN" xfId="681"/>
    <cellStyle name="3_Du toan 558 (Km17+508.12 - Km 22)" xfId="682"/>
    <cellStyle name="3_du toan qnm184" xfId="683"/>
    <cellStyle name="3_Gia_VLQL48_duyet " xfId="684"/>
    <cellStyle name="3_HC  QNM009(van dc1)" xfId="685"/>
    <cellStyle name="3_KE HOACH DI TINH thang 10-2007" xfId="686"/>
    <cellStyle name="3_KL tang 08-09" xfId="687"/>
    <cellStyle name="3_KlQdinhduyet" xfId="688"/>
    <cellStyle name="3_QNM UCTT T3.2009_doi 4" xfId="689"/>
    <cellStyle name="3_ÿÿÿÿÿ" xfId="690"/>
    <cellStyle name="³f¹ô[0]_pldt" xfId="691"/>
    <cellStyle name="³f¹ô_pldt" xfId="692"/>
    <cellStyle name="4" xfId="693"/>
    <cellStyle name="4_Book1" xfId="694"/>
    <cellStyle name="4_Book1_1" xfId="695"/>
    <cellStyle name="4_Cau thuy dien Ban La (Cu Anh)" xfId="696"/>
    <cellStyle name="4_Du toan 558 (Km17+508.12 - Km 22)" xfId="697"/>
    <cellStyle name="4_Gia_VLQL48_duyet " xfId="698"/>
    <cellStyle name="4_KlQdinhduyet" xfId="699"/>
    <cellStyle name="4_ÿÿÿÿÿ" xfId="700"/>
    <cellStyle name="40% - Accent1 2" xfId="701"/>
    <cellStyle name="40% - Accent1 2 2" xfId="702"/>
    <cellStyle name="40% - Accent1 3" xfId="703"/>
    <cellStyle name="40% - Accent2 2" xfId="704"/>
    <cellStyle name="40% - Accent2 2 2" xfId="705"/>
    <cellStyle name="40% - Accent2 3" xfId="706"/>
    <cellStyle name="40% - Accent3 2" xfId="707"/>
    <cellStyle name="40% - Accent3 2 2" xfId="708"/>
    <cellStyle name="40% - Accent3 3" xfId="709"/>
    <cellStyle name="40% - Accent4 2" xfId="710"/>
    <cellStyle name="40% - Accent4 2 2" xfId="711"/>
    <cellStyle name="40% - Accent4 3" xfId="712"/>
    <cellStyle name="40% - Accent5 2" xfId="713"/>
    <cellStyle name="40% - Accent5 2 2" xfId="714"/>
    <cellStyle name="40% - Accent5 3" xfId="715"/>
    <cellStyle name="40% - Accent6 2" xfId="716"/>
    <cellStyle name="40% - Accent6 2 2" xfId="717"/>
    <cellStyle name="40% - Accent6 3" xfId="718"/>
    <cellStyle name="40% - Nhấn1" xfId="719"/>
    <cellStyle name="40% - Nhấn2" xfId="720"/>
    <cellStyle name="40% - Nhấn3" xfId="721"/>
    <cellStyle name="40% - Nhấn4" xfId="722"/>
    <cellStyle name="40% - Nhấn5" xfId="723"/>
    <cellStyle name="40% - Nhấn6" xfId="724"/>
    <cellStyle name="510T" xfId="725"/>
    <cellStyle name="52" xfId="726"/>
    <cellStyle name="6" xfId="727"/>
    <cellStyle name="6_Cong trinh co y kien LD_Dang_NN_2011-Tay nguyen-9-10" xfId="728"/>
    <cellStyle name="6_TN - Ho tro khac 2011" xfId="729"/>
    <cellStyle name="60% - Accent1 2" xfId="730"/>
    <cellStyle name="60% - Accent1 2 2" xfId="731"/>
    <cellStyle name="60% - Accent1 3" xfId="732"/>
    <cellStyle name="60% - Accent2 2" xfId="733"/>
    <cellStyle name="60% - Accent2 2 2" xfId="734"/>
    <cellStyle name="60% - Accent2 3" xfId="735"/>
    <cellStyle name="60% - Accent3 2" xfId="736"/>
    <cellStyle name="60% - Accent3 2 2" xfId="737"/>
    <cellStyle name="60% - Accent3 3" xfId="738"/>
    <cellStyle name="60% - Accent4 2" xfId="739"/>
    <cellStyle name="60% - Accent4 2 2" xfId="740"/>
    <cellStyle name="60% - Accent4 3" xfId="741"/>
    <cellStyle name="60% - Accent5 2" xfId="742"/>
    <cellStyle name="60% - Accent5 2 2" xfId="743"/>
    <cellStyle name="60% - Accent5 3" xfId="744"/>
    <cellStyle name="60% - Accent6 2" xfId="745"/>
    <cellStyle name="60% - Accent6 2 2" xfId="746"/>
    <cellStyle name="60% - Accent6 3" xfId="747"/>
    <cellStyle name="60% - Nhấn1" xfId="748"/>
    <cellStyle name="60% - Nhấn2" xfId="749"/>
    <cellStyle name="60% - Nhấn3" xfId="750"/>
    <cellStyle name="60% - Nhấn4" xfId="751"/>
    <cellStyle name="60% - Nhấn5" xfId="752"/>
    <cellStyle name="60% - Nhấn6" xfId="753"/>
    <cellStyle name="9" xfId="754"/>
    <cellStyle name="a" xfId="755"/>
    <cellStyle name="Accent1 - 20%" xfId="756"/>
    <cellStyle name="Accent1 - 40%" xfId="757"/>
    <cellStyle name="Accent1 - 60%" xfId="758"/>
    <cellStyle name="Accent1 2" xfId="759"/>
    <cellStyle name="Accent1 2 2" xfId="760"/>
    <cellStyle name="Accent1 3" xfId="761"/>
    <cellStyle name="Accent2 - 20%" xfId="762"/>
    <cellStyle name="Accent2 - 40%" xfId="763"/>
    <cellStyle name="Accent2 - 60%" xfId="764"/>
    <cellStyle name="Accent2 2" xfId="765"/>
    <cellStyle name="Accent2 2 2" xfId="766"/>
    <cellStyle name="Accent2 3" xfId="767"/>
    <cellStyle name="Accent3 - 20%" xfId="768"/>
    <cellStyle name="Accent3 - 40%" xfId="769"/>
    <cellStyle name="Accent3 - 60%" xfId="770"/>
    <cellStyle name="Accent3 2" xfId="771"/>
    <cellStyle name="Accent3 2 2" xfId="772"/>
    <cellStyle name="Accent3 3" xfId="773"/>
    <cellStyle name="Accent4 - 20%" xfId="774"/>
    <cellStyle name="Accent4 - 40%" xfId="775"/>
    <cellStyle name="Accent4 - 60%" xfId="776"/>
    <cellStyle name="Accent4 2" xfId="777"/>
    <cellStyle name="Accent4 2 2" xfId="778"/>
    <cellStyle name="Accent4 3" xfId="779"/>
    <cellStyle name="Accent5 - 20%" xfId="780"/>
    <cellStyle name="Accent5 - 40%" xfId="781"/>
    <cellStyle name="Accent5 - 60%" xfId="782"/>
    <cellStyle name="Accent5 2" xfId="783"/>
    <cellStyle name="Accent5 2 2" xfId="784"/>
    <cellStyle name="Accent5 3" xfId="785"/>
    <cellStyle name="Accent6 - 20%" xfId="786"/>
    <cellStyle name="Accent6 - 40%" xfId="787"/>
    <cellStyle name="Accent6 - 60%" xfId="788"/>
    <cellStyle name="Accent6 2" xfId="789"/>
    <cellStyle name="Accent6 2 2" xfId="790"/>
    <cellStyle name="Accent6 3" xfId="791"/>
    <cellStyle name="ÅëÈ­ [0]_      " xfId="792"/>
    <cellStyle name="AeE­ [0]_INQUIRY ¿?¾÷AßAø " xfId="793"/>
    <cellStyle name="ÅëÈ­ [0]_L601CPT" xfId="794"/>
    <cellStyle name="ÅëÈ­_      " xfId="795"/>
    <cellStyle name="AeE­_INQUIRY ¿?¾÷AßAø " xfId="796"/>
    <cellStyle name="ÅëÈ­_L601CPT" xfId="797"/>
    <cellStyle name="args.style" xfId="798"/>
    <cellStyle name="at" xfId="799"/>
    <cellStyle name="ÄÞ¸¶ [0]_      " xfId="800"/>
    <cellStyle name="AÞ¸¶ [0]_INQUIRY ¿?¾÷AßAø " xfId="801"/>
    <cellStyle name="ÄÞ¸¶ [0]_L601CPT" xfId="802"/>
    <cellStyle name="ÄÞ¸¶_      " xfId="803"/>
    <cellStyle name="AÞ¸¶_INQUIRY ¿?¾÷AßAø " xfId="804"/>
    <cellStyle name="ÄÞ¸¶_L601CPT" xfId="805"/>
    <cellStyle name="AutoFormat Options" xfId="806"/>
    <cellStyle name="B" xfId="807"/>
    <cellStyle name="B_pb npl quy 3" xfId="808"/>
    <cellStyle name="B_phieu kt" xfId="809"/>
    <cellStyle name="Bad 2" xfId="810"/>
    <cellStyle name="Bad 2 2" xfId="811"/>
    <cellStyle name="Bad 3" xfId="812"/>
    <cellStyle name="Bangchu" xfId="813"/>
    <cellStyle name="Body" xfId="814"/>
    <cellStyle name="border" xfId="815"/>
    <cellStyle name="BuiltIn_Style_255" xfId="816"/>
    <cellStyle name="C?AØ_¿?¾÷CoE² " xfId="817"/>
    <cellStyle name="C~1" xfId="818"/>
    <cellStyle name="Ç¥ÁØ_      " xfId="819"/>
    <cellStyle name="C￥AØ_¿μ¾÷CoE² " xfId="820"/>
    <cellStyle name="Ç¥ÁØ_±¸¹Ì´ëÃ¥" xfId="821"/>
    <cellStyle name="C￥AØ_Sheet1_¿μ¾÷CoE² " xfId="822"/>
    <cellStyle name="Ç¥ÁØ_ÿÿÿÿÿÿ_4_ÃÑÇÕ°è " xfId="823"/>
    <cellStyle name="Calc Currency (0)" xfId="824"/>
    <cellStyle name="Calc Currency (2)" xfId="825"/>
    <cellStyle name="Calc Percent (0)" xfId="826"/>
    <cellStyle name="Calc Percent (1)" xfId="827"/>
    <cellStyle name="Calc Percent (2)" xfId="828"/>
    <cellStyle name="Calc Units (0)" xfId="829"/>
    <cellStyle name="Calc Units (1)" xfId="830"/>
    <cellStyle name="Calc Units (2)" xfId="831"/>
    <cellStyle name="Calculation 2" xfId="832"/>
    <cellStyle name="Calculation 2 2" xfId="833"/>
    <cellStyle name="Calculation 3" xfId="834"/>
    <cellStyle name="category" xfId="835"/>
    <cellStyle name="CC1" xfId="836"/>
    <cellStyle name="CC2" xfId="837"/>
    <cellStyle name="Cerrency_Sheet2_XANGDAU" xfId="838"/>
    <cellStyle name="Co?ma_Sheet1" xfId="846"/>
    <cellStyle name="Comma" xfId="847" builtinId="3"/>
    <cellStyle name="Comma  - Style1" xfId="848"/>
    <cellStyle name="Comma  - Style2" xfId="849"/>
    <cellStyle name="Comma  - Style3" xfId="850"/>
    <cellStyle name="Comma  - Style4" xfId="851"/>
    <cellStyle name="Comma  - Style5" xfId="852"/>
    <cellStyle name="Comma  - Style6" xfId="853"/>
    <cellStyle name="Comma  - Style7" xfId="854"/>
    <cellStyle name="Comma  - Style8" xfId="855"/>
    <cellStyle name="Comma [0] 2" xfId="856"/>
    <cellStyle name="Comma [0] 2 10" xfId="857"/>
    <cellStyle name="Comma [0] 2 11" xfId="858"/>
    <cellStyle name="Comma [0] 2 12" xfId="859"/>
    <cellStyle name="Comma [0] 2 13" xfId="860"/>
    <cellStyle name="Comma [0] 2 14" xfId="861"/>
    <cellStyle name="Comma [0] 2 15" xfId="862"/>
    <cellStyle name="Comma [0] 2 16" xfId="863"/>
    <cellStyle name="Comma [0] 2 17" xfId="864"/>
    <cellStyle name="Comma [0] 2 18" xfId="865"/>
    <cellStyle name="Comma [0] 2 19" xfId="866"/>
    <cellStyle name="Comma [0] 2 2" xfId="867"/>
    <cellStyle name="Comma [0] 2 20" xfId="868"/>
    <cellStyle name="Comma [0] 2 21" xfId="869"/>
    <cellStyle name="Comma [0] 2 22" xfId="870"/>
    <cellStyle name="Comma [0] 2 23" xfId="871"/>
    <cellStyle name="Comma [0] 2 24" xfId="872"/>
    <cellStyle name="Comma [0] 2 25" xfId="873"/>
    <cellStyle name="Comma [0] 2 3" xfId="874"/>
    <cellStyle name="Comma [0] 2 4" xfId="875"/>
    <cellStyle name="Comma [0] 2 5" xfId="876"/>
    <cellStyle name="Comma [0] 2 6" xfId="877"/>
    <cellStyle name="Comma [0] 2 7" xfId="878"/>
    <cellStyle name="Comma [0] 2 8" xfId="879"/>
    <cellStyle name="Comma [0] 2 9" xfId="880"/>
    <cellStyle name="Comma [0] 3" xfId="881"/>
    <cellStyle name="Comma [0] 3 2" xfId="882"/>
    <cellStyle name="Comma [0] 4" xfId="883"/>
    <cellStyle name="Comma [00]" xfId="884"/>
    <cellStyle name="Comma 10" xfId="885"/>
    <cellStyle name="Comma 10 10" xfId="886"/>
    <cellStyle name="Comma 10 10 2" xfId="887"/>
    <cellStyle name="Comma 10 10 2 2" xfId="888"/>
    <cellStyle name="Comma 10 10 3" xfId="889"/>
    <cellStyle name="Comma 10 2" xfId="890"/>
    <cellStyle name="Comma 10 2 2" xfId="891"/>
    <cellStyle name="Comma 10 3" xfId="892"/>
    <cellStyle name="Comma 10 3 2" xfId="893"/>
    <cellStyle name="Comma 10 3 2 2" xfId="894"/>
    <cellStyle name="Comma 10 3 2 2 2" xfId="895"/>
    <cellStyle name="Comma 10 3 3" xfId="896"/>
    <cellStyle name="Comma 10 4" xfId="897"/>
    <cellStyle name="Comma 11" xfId="898"/>
    <cellStyle name="Comma 11 2" xfId="899"/>
    <cellStyle name="Comma 11 3" xfId="900"/>
    <cellStyle name="Comma 11 4" xfId="901"/>
    <cellStyle name="Comma 12" xfId="902"/>
    <cellStyle name="Comma 12 2" xfId="903"/>
    <cellStyle name="Comma 12 2 2" xfId="904"/>
    <cellStyle name="Comma 12 3" xfId="905"/>
    <cellStyle name="Comma 13" xfId="906"/>
    <cellStyle name="Comma 13 2" xfId="907"/>
    <cellStyle name="Comma 13 2 2" xfId="908"/>
    <cellStyle name="Comma 13 2 2 2" xfId="909"/>
    <cellStyle name="Comma 13 2 2 2 2" xfId="910"/>
    <cellStyle name="Comma 13 2 2 2 3" xfId="911"/>
    <cellStyle name="Comma 13 2 2 3" xfId="912"/>
    <cellStyle name="Comma 13 2 3" xfId="913"/>
    <cellStyle name="Comma 13 2 4" xfId="914"/>
    <cellStyle name="Comma 13 2 5" xfId="915"/>
    <cellStyle name="Comma 13 2 5 2" xfId="916"/>
    <cellStyle name="Comma 13 2 5 2 2" xfId="917"/>
    <cellStyle name="Comma 13 3" xfId="918"/>
    <cellStyle name="Comma 13 3 2" xfId="919"/>
    <cellStyle name="Comma 13 3 3" xfId="920"/>
    <cellStyle name="Comma 13 3 3 2" xfId="921"/>
    <cellStyle name="Comma 14" xfId="922"/>
    <cellStyle name="Comma 14 2" xfId="923"/>
    <cellStyle name="Comma 15" xfId="924"/>
    <cellStyle name="Comma 15 2" xfId="925"/>
    <cellStyle name="Comma 16" xfId="926"/>
    <cellStyle name="Comma 16 2" xfId="927"/>
    <cellStyle name="Comma 17" xfId="928"/>
    <cellStyle name="Comma 17 2" xfId="929"/>
    <cellStyle name="Comma 17 3" xfId="930"/>
    <cellStyle name="Comma 18" xfId="931"/>
    <cellStyle name="Comma 18 2" xfId="932"/>
    <cellStyle name="Comma 19" xfId="933"/>
    <cellStyle name="Comma 2" xfId="934"/>
    <cellStyle name="Comma 2 10" xfId="935"/>
    <cellStyle name="Comma 2 11" xfId="936"/>
    <cellStyle name="Comma 2 12" xfId="937"/>
    <cellStyle name="Comma 2 13" xfId="938"/>
    <cellStyle name="Comma 2 14" xfId="939"/>
    <cellStyle name="Comma 2 15" xfId="940"/>
    <cellStyle name="Comma 2 16" xfId="941"/>
    <cellStyle name="Comma 2 17" xfId="942"/>
    <cellStyle name="Comma 2 18" xfId="943"/>
    <cellStyle name="Comma 2 19" xfId="944"/>
    <cellStyle name="Comma 2 2" xfId="945"/>
    <cellStyle name="Comma 2 2 10" xfId="946"/>
    <cellStyle name="Comma 2 2 11" xfId="947"/>
    <cellStyle name="Comma 2 2 12" xfId="948"/>
    <cellStyle name="Comma 2 2 13" xfId="949"/>
    <cellStyle name="Comma 2 2 14" xfId="950"/>
    <cellStyle name="Comma 2 2 15" xfId="951"/>
    <cellStyle name="Comma 2 2 16" xfId="952"/>
    <cellStyle name="Comma 2 2 17" xfId="953"/>
    <cellStyle name="Comma 2 2 18" xfId="954"/>
    <cellStyle name="Comma 2 2 19" xfId="955"/>
    <cellStyle name="Comma 2 2 2" xfId="956"/>
    <cellStyle name="Comma 2 2 2 10" xfId="957"/>
    <cellStyle name="Comma 2 2 2 11" xfId="958"/>
    <cellStyle name="Comma 2 2 2 12" xfId="959"/>
    <cellStyle name="Comma 2 2 2 13" xfId="960"/>
    <cellStyle name="Comma 2 2 2 14" xfId="961"/>
    <cellStyle name="Comma 2 2 2 15" xfId="962"/>
    <cellStyle name="Comma 2 2 2 16" xfId="963"/>
    <cellStyle name="Comma 2 2 2 17" xfId="964"/>
    <cellStyle name="Comma 2 2 2 18" xfId="965"/>
    <cellStyle name="Comma 2 2 2 19" xfId="966"/>
    <cellStyle name="Comma 2 2 2 2" xfId="967"/>
    <cellStyle name="Comma 2 2 2 2 2" xfId="968"/>
    <cellStyle name="Comma 2 2 2 20" xfId="969"/>
    <cellStyle name="Comma 2 2 2 21" xfId="970"/>
    <cellStyle name="Comma 2 2 2 22" xfId="971"/>
    <cellStyle name="Comma 2 2 2 23" xfId="972"/>
    <cellStyle name="Comma 2 2 2 24" xfId="973"/>
    <cellStyle name="Comma 2 2 2 3" xfId="974"/>
    <cellStyle name="Comma 2 2 2 4" xfId="975"/>
    <cellStyle name="Comma 2 2 2 5" xfId="976"/>
    <cellStyle name="Comma 2 2 2 6" xfId="977"/>
    <cellStyle name="Comma 2 2 2 7" xfId="978"/>
    <cellStyle name="Comma 2 2 2 8" xfId="979"/>
    <cellStyle name="Comma 2 2 2 9" xfId="980"/>
    <cellStyle name="Comma 2 2 20" xfId="981"/>
    <cellStyle name="Comma 2 2 21" xfId="982"/>
    <cellStyle name="Comma 2 2 22" xfId="983"/>
    <cellStyle name="Comma 2 2 23" xfId="984"/>
    <cellStyle name="Comma 2 2 24" xfId="985"/>
    <cellStyle name="Comma 2 2 24 2" xfId="986"/>
    <cellStyle name="Comma 2 2 25" xfId="987"/>
    <cellStyle name="Comma 2 2 3" xfId="988"/>
    <cellStyle name="Comma 2 2 3 2" xfId="989"/>
    <cellStyle name="Comma 2 2 4" xfId="990"/>
    <cellStyle name="Comma 2 2 5" xfId="991"/>
    <cellStyle name="Comma 2 2 6" xfId="992"/>
    <cellStyle name="Comma 2 2 7" xfId="993"/>
    <cellStyle name="Comma 2 2 8" xfId="994"/>
    <cellStyle name="Comma 2 2 9" xfId="995"/>
    <cellStyle name="Comma 2 2_Ha Nam" xfId="996"/>
    <cellStyle name="Comma 2 20" xfId="997"/>
    <cellStyle name="Comma 2 21" xfId="998"/>
    <cellStyle name="Comma 2 22" xfId="999"/>
    <cellStyle name="Comma 2 23" xfId="1000"/>
    <cellStyle name="Comma 2 24" xfId="1001"/>
    <cellStyle name="Comma 2 25" xfId="1002"/>
    <cellStyle name="Comma 2 26" xfId="1003"/>
    <cellStyle name="Comma 2 26 2" xfId="1004"/>
    <cellStyle name="Comma 2 27" xfId="1005"/>
    <cellStyle name="Comma 2 28" xfId="1006"/>
    <cellStyle name="Comma 2 29" xfId="1007"/>
    <cellStyle name="Comma 2 3" xfId="1008"/>
    <cellStyle name="Comma 2 3 2" xfId="1009"/>
    <cellStyle name="Comma 2 3 2 2" xfId="1010"/>
    <cellStyle name="Comma 2 3 3" xfId="1011"/>
    <cellStyle name="Comma 2 3 4" xfId="1012"/>
    <cellStyle name="Comma 2 4" xfId="1013"/>
    <cellStyle name="Comma 2 4 2" xfId="1014"/>
    <cellStyle name="Comma 2 5" xfId="1015"/>
    <cellStyle name="Comma 2 5 2" xfId="1016"/>
    <cellStyle name="Comma 2 6" xfId="1017"/>
    <cellStyle name="Comma 2 7" xfId="1018"/>
    <cellStyle name="Comma 2 8" xfId="1019"/>
    <cellStyle name="Comma 2 9" xfId="1020"/>
    <cellStyle name="Comma 2_Bac Giang" xfId="1021"/>
    <cellStyle name="Comma 20" xfId="1022"/>
    <cellStyle name="Comma 20 2" xfId="1023"/>
    <cellStyle name="Comma 20 2 2" xfId="1024"/>
    <cellStyle name="Comma 20 2 2 2" xfId="1025"/>
    <cellStyle name="Comma 20 2 2 3" xfId="1026"/>
    <cellStyle name="Comma 20 2 3" xfId="1027"/>
    <cellStyle name="Comma 20 2 3 2" xfId="1028"/>
    <cellStyle name="Comma 20 2 4" xfId="1029"/>
    <cellStyle name="Comma 20 2 4 2" xfId="1030"/>
    <cellStyle name="Comma 20 2 5" xfId="1031"/>
    <cellStyle name="Comma 20 2 6" xfId="1032"/>
    <cellStyle name="Comma 21" xfId="1033"/>
    <cellStyle name="Comma 22" xfId="1034"/>
    <cellStyle name="Comma 22 2" xfId="1035"/>
    <cellStyle name="Comma 23" xfId="1036"/>
    <cellStyle name="Comma 3" xfId="1037"/>
    <cellStyle name="Comma 3 2" xfId="1038"/>
    <cellStyle name="Comma 3 2 2" xfId="1039"/>
    <cellStyle name="Comma 3 2 2 2" xfId="1040"/>
    <cellStyle name="Comma 3 2 3" xfId="1041"/>
    <cellStyle name="Comma 3 3" xfId="1042"/>
    <cellStyle name="Comma 3 4" xfId="1043"/>
    <cellStyle name="Comma 4" xfId="1044"/>
    <cellStyle name="Comma 4 2" xfId="1045"/>
    <cellStyle name="Comma 4 2 2" xfId="1046"/>
    <cellStyle name="Comma 4 2 3" xfId="1047"/>
    <cellStyle name="Comma 4 3" xfId="1048"/>
    <cellStyle name="Comma 4 3 2" xfId="1049"/>
    <cellStyle name="Comma 4 4" xfId="1050"/>
    <cellStyle name="Comma 4 5" xfId="1051"/>
    <cellStyle name="Comma 4 6" xfId="1052"/>
    <cellStyle name="Comma 4 7" xfId="1053"/>
    <cellStyle name="Comma 4_THEO DOI THUC HIEN (GỐC 1)" xfId="1054"/>
    <cellStyle name="Comma 5" xfId="1055"/>
    <cellStyle name="Comma 5 2" xfId="1056"/>
    <cellStyle name="Comma 5 2 2" xfId="1057"/>
    <cellStyle name="Comma 5 3" xfId="1058"/>
    <cellStyle name="Comma 5 4" xfId="1059"/>
    <cellStyle name="Comma 5_Bao cao tinh hinh thuc hien 6 thang 2013 va uoc ca nam 2013" xfId="1060"/>
    <cellStyle name="Comma 6" xfId="1061"/>
    <cellStyle name="Comma 6 2" xfId="1062"/>
    <cellStyle name="Comma 6 2 2" xfId="1063"/>
    <cellStyle name="Comma 6 2 3" xfId="1064"/>
    <cellStyle name="Comma 6 3" xfId="1065"/>
    <cellStyle name="Comma 7" xfId="1066"/>
    <cellStyle name="Comma 7 2" xfId="1067"/>
    <cellStyle name="Comma 7 2 2" xfId="1068"/>
    <cellStyle name="Comma 7 2 3" xfId="1069"/>
    <cellStyle name="Comma 7 3" xfId="1070"/>
    <cellStyle name="Comma 7 4" xfId="1071"/>
    <cellStyle name="Comma 7 4 2" xfId="1072"/>
    <cellStyle name="Comma 7 5" xfId="1073"/>
    <cellStyle name="Comma 7 6" xfId="1074"/>
    <cellStyle name="Comma 8" xfId="1075"/>
    <cellStyle name="Comma 8 2" xfId="1076"/>
    <cellStyle name="Comma 8 2 2" xfId="1077"/>
    <cellStyle name="Comma 8 3" xfId="1078"/>
    <cellStyle name="Comma 8 4" xfId="1079"/>
    <cellStyle name="Comma 8 5" xfId="1080"/>
    <cellStyle name="Comma 8 6" xfId="1081"/>
    <cellStyle name="Comma 9" xfId="1082"/>
    <cellStyle name="Comma 9 2" xfId="1083"/>
    <cellStyle name="Comma 9 2 2" xfId="1084"/>
    <cellStyle name="Comma 9 3" xfId="1085"/>
    <cellStyle name="Comma 9 4" xfId="1086"/>
    <cellStyle name="Comma 9 5" xfId="1087"/>
    <cellStyle name="comma zerodec" xfId="1088"/>
    <cellStyle name="comma zerodec 2" xfId="1089"/>
    <cellStyle name="Comma0" xfId="1090"/>
    <cellStyle name="cong" xfId="1091"/>
    <cellStyle name="Copied" xfId="1092"/>
    <cellStyle name="COST1" xfId="1093"/>
    <cellStyle name="Co聭ma_Sheet1" xfId="1094"/>
    <cellStyle name="Cࡵrrency_Sheet1_PRODUCTĠ" xfId="1095"/>
    <cellStyle name="CT1" xfId="1096"/>
    <cellStyle name="CT2" xfId="1097"/>
    <cellStyle name="CT4" xfId="1098"/>
    <cellStyle name="CT5" xfId="1099"/>
    <cellStyle name="ct7" xfId="1100"/>
    <cellStyle name="ct8" xfId="1101"/>
    <cellStyle name="cth1" xfId="1102"/>
    <cellStyle name="Cthuc" xfId="1103"/>
    <cellStyle name="Cthuc1" xfId="1104"/>
    <cellStyle name="Curråncy [0]_FCST_RESULTS" xfId="1105"/>
    <cellStyle name="Currency [0]ßmud plant bolted_RESULTS" xfId="1106"/>
    <cellStyle name="Currency [00]" xfId="1107"/>
    <cellStyle name="Currency 2" xfId="1108"/>
    <cellStyle name="Currency 3" xfId="1109"/>
    <cellStyle name="Currency 4" xfId="1110"/>
    <cellStyle name="Currency![0]_FCSt (2)" xfId="1111"/>
    <cellStyle name="Currency0" xfId="1112"/>
    <cellStyle name="Currency0 2" xfId="1113"/>
    <cellStyle name="Currency1" xfId="1114"/>
    <cellStyle name="Currency1 2" xfId="1115"/>
    <cellStyle name="chchuyen" xfId="839"/>
    <cellStyle name="Check Cell 2" xfId="840"/>
    <cellStyle name="Check Cell 2 2" xfId="841"/>
    <cellStyle name="Check Cell 3" xfId="842"/>
    <cellStyle name="Chi phÝ kh¸c_Book1" xfId="843"/>
    <cellStyle name="chu" xfId="844"/>
    <cellStyle name="CHUONG" xfId="845"/>
    <cellStyle name="d" xfId="1116"/>
    <cellStyle name="d%" xfId="1117"/>
    <cellStyle name="D1" xfId="1118"/>
    <cellStyle name="D1CS" xfId="1119"/>
    <cellStyle name="D2CS" xfId="1120"/>
    <cellStyle name="Date" xfId="1121"/>
    <cellStyle name="Date Short" xfId="1122"/>
    <cellStyle name="Date_07" xfId="1123"/>
    <cellStyle name="DAUDE" xfId="1126"/>
    <cellStyle name="Dezimal [0]_35ERI8T2gbIEMixb4v26icuOo" xfId="1131"/>
    <cellStyle name="Dezimal_35ERI8T2gbIEMixb4v26icuOo" xfId="1132"/>
    <cellStyle name="Dg" xfId="1133"/>
    <cellStyle name="Dgia" xfId="1134"/>
    <cellStyle name="Dollar (zero dec)" xfId="1135"/>
    <cellStyle name="Dollar (zero dec) 2" xfId="1136"/>
    <cellStyle name="Don gia" xfId="1137"/>
    <cellStyle name="DuToanBXD" xfId="1138"/>
    <cellStyle name="Dziesi?tny [0]_Invoices2001Slovakia" xfId="1139"/>
    <cellStyle name="Dziesi?tny_Invoices2001Slovakia" xfId="1140"/>
    <cellStyle name="Dziesietny [0]_Invoices2001Slovakia" xfId="1141"/>
    <cellStyle name="Dziesiętny [0]_Invoices2001Slovakia" xfId="1142"/>
    <cellStyle name="Dziesietny [0]_Invoices2001Slovakia_01_Nha so 1_Dien" xfId="1143"/>
    <cellStyle name="Dziesiętny [0]_Invoices2001Slovakia_01_Nha so 1_Dien" xfId="1144"/>
    <cellStyle name="Dziesietny [0]_Invoices2001Slovakia_10_Nha so 10_Dien1" xfId="1145"/>
    <cellStyle name="Dziesiętny [0]_Invoices2001Slovakia_10_Nha so 10_Dien1" xfId="1146"/>
    <cellStyle name="Dziesietny [0]_Invoices2001Slovakia_Book1" xfId="1147"/>
    <cellStyle name="Dziesiętny [0]_Invoices2001Slovakia_Book1" xfId="1148"/>
    <cellStyle name="Dziesietny [0]_Invoices2001Slovakia_Book1_1" xfId="1149"/>
    <cellStyle name="Dziesiętny [0]_Invoices2001Slovakia_Book1_1" xfId="1150"/>
    <cellStyle name="Dziesietny [0]_Invoices2001Slovakia_Book1_1_Book1" xfId="1151"/>
    <cellStyle name="Dziesiętny [0]_Invoices2001Slovakia_Book1_1_Book1" xfId="1152"/>
    <cellStyle name="Dziesietny [0]_Invoices2001Slovakia_Book1_2" xfId="1153"/>
    <cellStyle name="Dziesiętny [0]_Invoices2001Slovakia_Book1_2" xfId="1154"/>
    <cellStyle name="Dziesietny [0]_Invoices2001Slovakia_Book1_Nhu cau von ung truoc 2011 Tha h Hoa + Nge An gui TW" xfId="1155"/>
    <cellStyle name="Dziesiętny [0]_Invoices2001Slovakia_Book1_Nhu cau von ung truoc 2011 Tha h Hoa + Nge An gui TW" xfId="1156"/>
    <cellStyle name="Dziesietny [0]_Invoices2001Slovakia_Book1_Tong hop Cac tuyen(9-1-06)" xfId="1157"/>
    <cellStyle name="Dziesiętny [0]_Invoices2001Slovakia_Book1_Tong hop Cac tuyen(9-1-06)" xfId="1158"/>
    <cellStyle name="Dziesietny [0]_Invoices2001Slovakia_Book1_ung truoc 2011 NSTW Thanh Hoa + Nge An gui Thu 12-5" xfId="1159"/>
    <cellStyle name="Dziesiętny [0]_Invoices2001Slovakia_Book1_ung truoc 2011 NSTW Thanh Hoa + Nge An gui Thu 12-5" xfId="1160"/>
    <cellStyle name="Dziesietny [0]_Invoices2001Slovakia_d-uong+TDT" xfId="1161"/>
    <cellStyle name="Dziesiętny [0]_Invoices2001Slovakia_Nhµ ®Ó xe" xfId="1162"/>
    <cellStyle name="Dziesietny [0]_Invoices2001Slovakia_Nha bao ve(28-7-05)" xfId="1163"/>
    <cellStyle name="Dziesiętny [0]_Invoices2001Slovakia_Nha bao ve(28-7-05)" xfId="1164"/>
    <cellStyle name="Dziesietny [0]_Invoices2001Slovakia_NHA de xe nguyen du" xfId="1165"/>
    <cellStyle name="Dziesiętny [0]_Invoices2001Slovakia_NHA de xe nguyen du" xfId="1166"/>
    <cellStyle name="Dziesietny [0]_Invoices2001Slovakia_Nhalamviec VTC(25-1-05)" xfId="1167"/>
    <cellStyle name="Dziesiętny [0]_Invoices2001Slovakia_Nhalamviec VTC(25-1-05)" xfId="1168"/>
    <cellStyle name="Dziesietny [0]_Invoices2001Slovakia_Nhu cau von ung truoc 2011 Tha h Hoa + Nge An gui TW" xfId="1169"/>
    <cellStyle name="Dziesiętny [0]_Invoices2001Slovakia_TDT KHANH HOA" xfId="1170"/>
    <cellStyle name="Dziesietny [0]_Invoices2001Slovakia_TDT KHANH HOA_Tong hop Cac tuyen(9-1-06)" xfId="1171"/>
    <cellStyle name="Dziesiętny [0]_Invoices2001Slovakia_TDT KHANH HOA_Tong hop Cac tuyen(9-1-06)" xfId="1172"/>
    <cellStyle name="Dziesietny [0]_Invoices2001Slovakia_TDT quangngai" xfId="1173"/>
    <cellStyle name="Dziesiętny [0]_Invoices2001Slovakia_TDT quangngai" xfId="1174"/>
    <cellStyle name="Dziesietny [0]_Invoices2001Slovakia_TMDT(10-5-06)" xfId="1175"/>
    <cellStyle name="Dziesietny_Invoices2001Slovakia" xfId="1176"/>
    <cellStyle name="Dziesiętny_Invoices2001Slovakia" xfId="1177"/>
    <cellStyle name="Dziesietny_Invoices2001Slovakia_01_Nha so 1_Dien" xfId="1178"/>
    <cellStyle name="Dziesiętny_Invoices2001Slovakia_01_Nha so 1_Dien" xfId="1179"/>
    <cellStyle name="Dziesietny_Invoices2001Slovakia_10_Nha so 10_Dien1" xfId="1180"/>
    <cellStyle name="Dziesiętny_Invoices2001Slovakia_10_Nha so 10_Dien1" xfId="1181"/>
    <cellStyle name="Dziesietny_Invoices2001Slovakia_Book1" xfId="1182"/>
    <cellStyle name="Dziesiętny_Invoices2001Slovakia_Book1" xfId="1183"/>
    <cellStyle name="Dziesietny_Invoices2001Slovakia_Book1_1" xfId="1184"/>
    <cellStyle name="Dziesiętny_Invoices2001Slovakia_Book1_1" xfId="1185"/>
    <cellStyle name="Dziesietny_Invoices2001Slovakia_Book1_1_Book1" xfId="1186"/>
    <cellStyle name="Dziesiętny_Invoices2001Slovakia_Book1_1_Book1" xfId="1187"/>
    <cellStyle name="Dziesietny_Invoices2001Slovakia_Book1_2" xfId="1188"/>
    <cellStyle name="Dziesiętny_Invoices2001Slovakia_Book1_2" xfId="1189"/>
    <cellStyle name="Dziesietny_Invoices2001Slovakia_Book1_Nhu cau von ung truoc 2011 Tha h Hoa + Nge An gui TW" xfId="1190"/>
    <cellStyle name="Dziesiętny_Invoices2001Slovakia_Book1_Nhu cau von ung truoc 2011 Tha h Hoa + Nge An gui TW" xfId="1191"/>
    <cellStyle name="Dziesietny_Invoices2001Slovakia_Book1_Tong hop Cac tuyen(9-1-06)" xfId="1192"/>
    <cellStyle name="Dziesiętny_Invoices2001Slovakia_Book1_Tong hop Cac tuyen(9-1-06)" xfId="1193"/>
    <cellStyle name="Dziesietny_Invoices2001Slovakia_Book1_ung truoc 2011 NSTW Thanh Hoa + Nge An gui Thu 12-5" xfId="1194"/>
    <cellStyle name="Dziesiętny_Invoices2001Slovakia_Book1_ung truoc 2011 NSTW Thanh Hoa + Nge An gui Thu 12-5" xfId="1195"/>
    <cellStyle name="Dziesietny_Invoices2001Slovakia_d-uong+TDT" xfId="1196"/>
    <cellStyle name="Dziesiętny_Invoices2001Slovakia_Nhµ ®Ó xe" xfId="1197"/>
    <cellStyle name="Dziesietny_Invoices2001Slovakia_Nha bao ve(28-7-05)" xfId="1198"/>
    <cellStyle name="Dziesiętny_Invoices2001Slovakia_Nha bao ve(28-7-05)" xfId="1199"/>
    <cellStyle name="Dziesietny_Invoices2001Slovakia_NHA de xe nguyen du" xfId="1200"/>
    <cellStyle name="Dziesiętny_Invoices2001Slovakia_NHA de xe nguyen du" xfId="1201"/>
    <cellStyle name="Dziesietny_Invoices2001Slovakia_Nhalamviec VTC(25-1-05)" xfId="1202"/>
    <cellStyle name="Dziesiętny_Invoices2001Slovakia_Nhalamviec VTC(25-1-05)" xfId="1203"/>
    <cellStyle name="Dziesietny_Invoices2001Slovakia_Nhu cau von ung truoc 2011 Tha h Hoa + Nge An gui TW" xfId="1204"/>
    <cellStyle name="Dziesiętny_Invoices2001Slovakia_TDT KHANH HOA" xfId="1205"/>
    <cellStyle name="Dziesietny_Invoices2001Slovakia_TDT KHANH HOA_Tong hop Cac tuyen(9-1-06)" xfId="1206"/>
    <cellStyle name="Dziesiętny_Invoices2001Slovakia_TDT KHANH HOA_Tong hop Cac tuyen(9-1-06)" xfId="1207"/>
    <cellStyle name="Dziesietny_Invoices2001Slovakia_TDT quangngai" xfId="1208"/>
    <cellStyle name="Dziesiętny_Invoices2001Slovakia_TDT quangngai" xfId="1209"/>
    <cellStyle name="Dziesietny_Invoices2001Slovakia_TMDT(10-5-06)" xfId="1210"/>
    <cellStyle name="Đầu ra" xfId="1124"/>
    <cellStyle name="Đầu vào" xfId="1125"/>
    <cellStyle name="Đề mục 1" xfId="1127"/>
    <cellStyle name="Đề mục 2" xfId="1128"/>
    <cellStyle name="Đề mục 3" xfId="1129"/>
    <cellStyle name="Đề mục 4" xfId="1130"/>
    <cellStyle name="e" xfId="1211"/>
    <cellStyle name="Emphasis 1" xfId="1212"/>
    <cellStyle name="Emphasis 2" xfId="1213"/>
    <cellStyle name="Emphasis 3" xfId="1214"/>
    <cellStyle name="Enter Currency (0)" xfId="1215"/>
    <cellStyle name="Enter Currency (2)" xfId="1216"/>
    <cellStyle name="Enter Units (0)" xfId="1217"/>
    <cellStyle name="Enter Units (1)" xfId="1218"/>
    <cellStyle name="Enter Units (2)" xfId="1219"/>
    <cellStyle name="Entered" xfId="1220"/>
    <cellStyle name="En-tete1" xfId="1221"/>
    <cellStyle name="En-tete2" xfId="1222"/>
    <cellStyle name="Euro" xfId="1223"/>
    <cellStyle name="Explanatory Text 2" xfId="1224"/>
    <cellStyle name="Explanatory Text 2 2" xfId="1225"/>
    <cellStyle name="Explanatory Text 3" xfId="1226"/>
    <cellStyle name="f" xfId="1227"/>
    <cellStyle name="f_Danhmuc_Quyhoach2009" xfId="1228"/>
    <cellStyle name="f_Danhmuc_Quyhoach2009 2" xfId="1229"/>
    <cellStyle name="Financier" xfId="1230"/>
    <cellStyle name="Fixe" xfId="1231"/>
    <cellStyle name="Fixed" xfId="1232"/>
    <cellStyle name="Font Britannic16" xfId="1233"/>
    <cellStyle name="Font Britannic18" xfId="1234"/>
    <cellStyle name="Font CenturyCond 18" xfId="1235"/>
    <cellStyle name="Font Cond20" xfId="1236"/>
    <cellStyle name="Font LucidaSans16" xfId="1237"/>
    <cellStyle name="Font NewCenturyCond18" xfId="1238"/>
    <cellStyle name="Font Ottawa14" xfId="1239"/>
    <cellStyle name="Font Ottawa16" xfId="1240"/>
    <cellStyle name="Ghi chú" xfId="1241"/>
    <cellStyle name="Good 2" xfId="1243"/>
    <cellStyle name="Good 2 2" xfId="1244"/>
    <cellStyle name="Good 3" xfId="1245"/>
    <cellStyle name="Grey" xfId="1246"/>
    <cellStyle name="Grey 2" xfId="1247"/>
    <cellStyle name="Group" xfId="1248"/>
    <cellStyle name="gia" xfId="1242"/>
    <cellStyle name="H" xfId="1249"/>
    <cellStyle name="H_D-A-VU" xfId="1250"/>
    <cellStyle name="H_D-A-VU_HC  QNM009(van dc1)" xfId="1251"/>
    <cellStyle name="H_D-A-VU_KH hoach keo quang thang 5" xfId="1252"/>
    <cellStyle name="H_D-A-VU_KH T6" xfId="1253"/>
    <cellStyle name="H_D-A-VU_TPVT" xfId="1254"/>
    <cellStyle name="H_D-A-VU_TPVT_HC  QNM009(van dc1)" xfId="1255"/>
    <cellStyle name="H_D-A-VU_TPVT_KH hoach keo quang thang 5" xfId="1256"/>
    <cellStyle name="H_D-A-VU_TPVT_KH T6" xfId="1257"/>
    <cellStyle name="H_HC  QNM009(van dc1)" xfId="1258"/>
    <cellStyle name="H_HSTHAU" xfId="1259"/>
    <cellStyle name="H_HSTHAU_HC  QNM009(van dc1)" xfId="1260"/>
    <cellStyle name="H_HSTHAU_KH hoach keo quang thang 5" xfId="1261"/>
    <cellStyle name="H_HSTHAU_KH T6" xfId="1262"/>
    <cellStyle name="H_HSTHAU_TPVT" xfId="1263"/>
    <cellStyle name="H_HSTHAU_TPVT_HC  QNM009(van dc1)" xfId="1264"/>
    <cellStyle name="H_HSTHAU_TPVT_KH hoach keo quang thang 5" xfId="1265"/>
    <cellStyle name="H_HSTHAU_TPVT_KH T6" xfId="1266"/>
    <cellStyle name="H_KH hoach keo quang thang 5" xfId="1267"/>
    <cellStyle name="H_KH T6" xfId="1268"/>
    <cellStyle name="H_TPVT" xfId="1269"/>
    <cellStyle name="H_TPVT_HC  QNM009(van dc1)" xfId="1270"/>
    <cellStyle name="H_TPVT_KH hoach keo quang thang 5" xfId="1271"/>
    <cellStyle name="H_TPVT_KH T6" xfId="1272"/>
    <cellStyle name="ha" xfId="1273"/>
    <cellStyle name="HAI" xfId="1274"/>
    <cellStyle name="Head 1" xfId="1275"/>
    <cellStyle name="HEADER" xfId="1276"/>
    <cellStyle name="Header1" xfId="1277"/>
    <cellStyle name="Header1 2" xfId="1278"/>
    <cellStyle name="Header2" xfId="1279"/>
    <cellStyle name="Heading" xfId="1280"/>
    <cellStyle name="Heading 1 2" xfId="1281"/>
    <cellStyle name="Heading 1 2 2" xfId="1282"/>
    <cellStyle name="Heading 1 3" xfId="1283"/>
    <cellStyle name="Heading 2 2" xfId="1284"/>
    <cellStyle name="Heading 2 2 2" xfId="1285"/>
    <cellStyle name="Heading 2 3" xfId="1286"/>
    <cellStyle name="Heading 3 2" xfId="1287"/>
    <cellStyle name="Heading 3 2 2" xfId="1288"/>
    <cellStyle name="Heading 3 3" xfId="1289"/>
    <cellStyle name="Heading 4 2" xfId="1290"/>
    <cellStyle name="Heading 4 2 2" xfId="1291"/>
    <cellStyle name="Heading 4 3" xfId="1292"/>
    <cellStyle name="Heading1" xfId="1293"/>
    <cellStyle name="Heading1 1" xfId="1294"/>
    <cellStyle name="HEADING1 2" xfId="1295"/>
    <cellStyle name="HEADING1_Book1" xfId="1296"/>
    <cellStyle name="Heading2" xfId="1297"/>
    <cellStyle name="HEADING2 2" xfId="1298"/>
    <cellStyle name="HEADINGS" xfId="1299"/>
    <cellStyle name="HEADINGSTOP" xfId="1300"/>
    <cellStyle name="headoption" xfId="1301"/>
    <cellStyle name="hoa" xfId="1302"/>
    <cellStyle name="Hoa-Scholl" xfId="1303"/>
    <cellStyle name="HUY" xfId="1304"/>
    <cellStyle name="i phÝ kh¸c_B¶ng 2" xfId="1305"/>
    <cellStyle name="I.3" xfId="1306"/>
    <cellStyle name="i·0" xfId="1307"/>
    <cellStyle name="i·0??????????_x0003_?_x0010__x0001_??Luu??9JS—_x0008_??????????????????ò_x0001_????&lt;i·0???" xfId="1308"/>
    <cellStyle name="i·0??????????_x0007_?_x0010__x0001_??PrintDT??9JS—_x0008_??????????????????¼_x0001_????&lt;i·" xfId="1309"/>
    <cellStyle name="ï-¾È»ê_BiÓu TB" xfId="1310"/>
    <cellStyle name="Input [yellow]" xfId="1311"/>
    <cellStyle name="Input [yellow] 2" xfId="1312"/>
    <cellStyle name="Input 2" xfId="1313"/>
    <cellStyle name="Input 2 2" xfId="1314"/>
    <cellStyle name="Input 3" xfId="1315"/>
    <cellStyle name="Input Cells" xfId="1316"/>
    <cellStyle name="k" xfId="1317"/>
    <cellStyle name="k_TONG HOP KINH PHI" xfId="1318"/>
    <cellStyle name="k_ÿÿÿÿÿ" xfId="1319"/>
    <cellStyle name="k_ÿÿÿÿÿ_1" xfId="1320"/>
    <cellStyle name="k_ÿÿÿÿÿ_2" xfId="1321"/>
    <cellStyle name="Kiểu 1" xfId="1328"/>
    <cellStyle name="KH ®Ëm" xfId="1322"/>
    <cellStyle name="KH mê ngang" xfId="1323"/>
    <cellStyle name="KH.NEO" xfId="1324"/>
    <cellStyle name="kh¸c_Bang Chi tieu" xfId="1325"/>
    <cellStyle name="khanh" xfId="1326"/>
    <cellStyle name="khung" xfId="1327"/>
    <cellStyle name="Ledger 17 x 11 in" xfId="1329"/>
    <cellStyle name="left" xfId="1330"/>
    <cellStyle name="Line" xfId="1331"/>
    <cellStyle name="Link Currency (0)" xfId="1332"/>
    <cellStyle name="Link Currency (2)" xfId="1333"/>
    <cellStyle name="Link Units (0)" xfId="1334"/>
    <cellStyle name="Link Units (1)" xfId="1335"/>
    <cellStyle name="Link Units (2)" xfId="1336"/>
    <cellStyle name="Link_CAPEX-B" xfId="1337"/>
    <cellStyle name="Linked Cell 2" xfId="1338"/>
    <cellStyle name="Linked Cell 2 2" xfId="1339"/>
    <cellStyle name="Linked Cell 3" xfId="1340"/>
    <cellStyle name="Linked Cells" xfId="1341"/>
    <cellStyle name="Loai CBDT" xfId="1342"/>
    <cellStyle name="Loai CT" xfId="1343"/>
    <cellStyle name="Loai GD" xfId="1344"/>
    <cellStyle name="luc" xfId="1345"/>
    <cellStyle name="luc2" xfId="1346"/>
    <cellStyle name="MAU" xfId="1347"/>
    <cellStyle name="Millares [0]_Well Timing" xfId="1348"/>
    <cellStyle name="Millares_Well Timing" xfId="1349"/>
    <cellStyle name="Milliers [0]_      " xfId="1350"/>
    <cellStyle name="Milliers_      " xfId="1351"/>
    <cellStyle name="MO" xfId="1352"/>
    <cellStyle name="Model" xfId="1354"/>
    <cellStyle name="moi" xfId="1355"/>
    <cellStyle name="Mon?aire [0]_      " xfId="1356"/>
    <cellStyle name="Mon?aire_      " xfId="1357"/>
    <cellStyle name="Moneda [0]_Well Timing" xfId="1358"/>
    <cellStyle name="Moneda_Well Timing" xfId="1359"/>
    <cellStyle name="Monetaire" xfId="1360"/>
    <cellStyle name="Monétaire [0]_      " xfId="1361"/>
    <cellStyle name="Monétaire_      " xfId="1362"/>
    <cellStyle name="Mon彋aire [0]_AR1194" xfId="1363"/>
    <cellStyle name="Mon彋aire_AR1194" xfId="1364"/>
    <cellStyle name="Mon騁aire [0]_AR1194" xfId="1365"/>
    <cellStyle name="Mon騁aire_AR1194" xfId="1366"/>
    <cellStyle name="Môc" xfId="1353"/>
    <cellStyle name="n" xfId="1367"/>
    <cellStyle name="n_07" xfId="1368"/>
    <cellStyle name="n_Book1" xfId="1369"/>
    <cellStyle name="n_KL tang 08-09" xfId="1370"/>
    <cellStyle name="n1" xfId="1371"/>
    <cellStyle name="NEO" xfId="1372"/>
    <cellStyle name="Neutral 2" xfId="1373"/>
    <cellStyle name="Neutral 2 2" xfId="1374"/>
    <cellStyle name="Neutral 3" xfId="1375"/>
    <cellStyle name="New Times Roman" xfId="1376"/>
    <cellStyle name="no dec" xfId="1384"/>
    <cellStyle name="Non" xfId="1385"/>
    <cellStyle name="ÑONVÒ" xfId="1386"/>
    <cellStyle name="Normal" xfId="0" builtinId="0"/>
    <cellStyle name="Normal - ??1" xfId="1387"/>
    <cellStyle name="Normal - Style1" xfId="1388"/>
    <cellStyle name="Normal - Style1 2" xfId="1389"/>
    <cellStyle name="Normal - Style1 3" xfId="1390"/>
    <cellStyle name="Normal - 유형1" xfId="1391"/>
    <cellStyle name="Normal 10" xfId="1392"/>
    <cellStyle name="Normal 10 2" xfId="1393"/>
    <cellStyle name="Normal 10 2 2" xfId="1394"/>
    <cellStyle name="Normal 10 2 2 2" xfId="1395"/>
    <cellStyle name="Normal 10 2 3" xfId="1396"/>
    <cellStyle name="Normal 10 3" xfId="1397"/>
    <cellStyle name="Normal 10 3 2" xfId="1398"/>
    <cellStyle name="Normal 10 4" xfId="1399"/>
    <cellStyle name="Normal 10 5" xfId="1400"/>
    <cellStyle name="Normal 10 6" xfId="1401"/>
    <cellStyle name="Normal 10_PHU BIEU ra soat trung han (20.6)" xfId="1402"/>
    <cellStyle name="Normal 11" xfId="1403"/>
    <cellStyle name="Normal 11 2" xfId="1404"/>
    <cellStyle name="Normal 11 3" xfId="1405"/>
    <cellStyle name="Normal 11 3 2" xfId="1406"/>
    <cellStyle name="Normal 11 3 4" xfId="1407"/>
    <cellStyle name="Normal 11 4" xfId="1408"/>
    <cellStyle name="Normal 12" xfId="1409"/>
    <cellStyle name="Normal 12 10" xfId="1410"/>
    <cellStyle name="Normal 12 11" xfId="1411"/>
    <cellStyle name="Normal 12 12" xfId="1412"/>
    <cellStyle name="Normal 12 13" xfId="1413"/>
    <cellStyle name="Normal 12 14" xfId="1414"/>
    <cellStyle name="Normal 12 15" xfId="1415"/>
    <cellStyle name="Normal 12 16" xfId="1416"/>
    <cellStyle name="Normal 12 17" xfId="1417"/>
    <cellStyle name="Normal 12 2" xfId="1418"/>
    <cellStyle name="Normal 12 3" xfId="1419"/>
    <cellStyle name="Normal 12 4" xfId="1420"/>
    <cellStyle name="Normal 12 5" xfId="1421"/>
    <cellStyle name="Normal 12 6" xfId="1422"/>
    <cellStyle name="Normal 12 7" xfId="1423"/>
    <cellStyle name="Normal 12 8" xfId="1424"/>
    <cellStyle name="Normal 12 9" xfId="1425"/>
    <cellStyle name="Normal 13" xfId="1426"/>
    <cellStyle name="Normal 14" xfId="1427"/>
    <cellStyle name="Normal 14 2" xfId="1428"/>
    <cellStyle name="Normal 14 2 2" xfId="1429"/>
    <cellStyle name="Normal 14 3" xfId="1430"/>
    <cellStyle name="Normal 14 4" xfId="1431"/>
    <cellStyle name="Normal 14 5" xfId="1432"/>
    <cellStyle name="Normal 15" xfId="1433"/>
    <cellStyle name="Normal 16" xfId="1434"/>
    <cellStyle name="Normal 17" xfId="1435"/>
    <cellStyle name="Normal 18" xfId="1436"/>
    <cellStyle name="Normal 18 2" xfId="1437"/>
    <cellStyle name="Normal 18 3" xfId="1438"/>
    <cellStyle name="Normal 19" xfId="1439"/>
    <cellStyle name="Normal 19 2" xfId="1440"/>
    <cellStyle name="Normal 2" xfId="1441"/>
    <cellStyle name="Normal 2 10" xfId="1442"/>
    <cellStyle name="Normal 2 10 2" xfId="1443"/>
    <cellStyle name="Normal 2 11" xfId="1444"/>
    <cellStyle name="Normal 2 12" xfId="1445"/>
    <cellStyle name="Normal 2 13" xfId="1446"/>
    <cellStyle name="Normal 2 14" xfId="1447"/>
    <cellStyle name="Normal 2 14 2" xfId="1448"/>
    <cellStyle name="Normal 2 14_Phuongangiao 1-giaoxulykythuat" xfId="1449"/>
    <cellStyle name="Normal 2 15" xfId="1450"/>
    <cellStyle name="Normal 2 16" xfId="1451"/>
    <cellStyle name="Normal 2 17" xfId="1452"/>
    <cellStyle name="Normal 2 18" xfId="1453"/>
    <cellStyle name="Normal 2 19" xfId="1454"/>
    <cellStyle name="Normal 2 2" xfId="1455"/>
    <cellStyle name="Normal 2 2 2" xfId="1456"/>
    <cellStyle name="Normal 2 2 2 2" xfId="1457"/>
    <cellStyle name="Normal 2 2 2 3" xfId="1458"/>
    <cellStyle name="Normal 2 2 3" xfId="1459"/>
    <cellStyle name="Normal 2 2 3 2" xfId="1460"/>
    <cellStyle name="Normal 2 2 4" xfId="1461"/>
    <cellStyle name="Normal 2 2_Bieu chi tiet tang quy mo, dch ky thuat 4" xfId="1462"/>
    <cellStyle name="Normal 2 20" xfId="1463"/>
    <cellStyle name="Normal 2 21" xfId="1464"/>
    <cellStyle name="Normal 2 22" xfId="1465"/>
    <cellStyle name="Normal 2 23" xfId="1466"/>
    <cellStyle name="Normal 2 24" xfId="1467"/>
    <cellStyle name="Normal 2 25" xfId="1468"/>
    <cellStyle name="Normal 2 26" xfId="1469"/>
    <cellStyle name="Normal 2 27" xfId="1470"/>
    <cellStyle name="Normal 2 28" xfId="1471"/>
    <cellStyle name="Normal 2 3" xfId="1472"/>
    <cellStyle name="Normal 2 3 2" xfId="1473"/>
    <cellStyle name="Normal 2 3_9-7" xfId="1474"/>
    <cellStyle name="Normal 2 4" xfId="1475"/>
    <cellStyle name="Normal 2 4 2" xfId="1476"/>
    <cellStyle name="Normal 2 4_9-7" xfId="1477"/>
    <cellStyle name="Normal 2 47" xfId="1478"/>
    <cellStyle name="Normal 2 5" xfId="1479"/>
    <cellStyle name="Normal 2 5 2" xfId="1480"/>
    <cellStyle name="Normal 2 5 2 2" xfId="1481"/>
    <cellStyle name="Normal 2 5 3" xfId="1482"/>
    <cellStyle name="Normal 2 5_9-7" xfId="1483"/>
    <cellStyle name="Normal 2 6" xfId="1484"/>
    <cellStyle name="Normal 2 7" xfId="1485"/>
    <cellStyle name="Normal 2 8" xfId="1486"/>
    <cellStyle name="Normal 2 9" xfId="1487"/>
    <cellStyle name="Normal 2_6a. Bieu Trung tam 05 06 chuyen doi hinh thuc dau tu" xfId="1488"/>
    <cellStyle name="Normal 20" xfId="1489"/>
    <cellStyle name="Normal 20 2" xfId="1490"/>
    <cellStyle name="Normal 21" xfId="1491"/>
    <cellStyle name="Normal 21 2" xfId="1492"/>
    <cellStyle name="Normal 22" xfId="1493"/>
    <cellStyle name="Normal 22 2" xfId="1494"/>
    <cellStyle name="Normal 23" xfId="1495"/>
    <cellStyle name="Normal 29" xfId="1496"/>
    <cellStyle name="Normal 29 2" xfId="1497"/>
    <cellStyle name="Normal 3" xfId="1498"/>
    <cellStyle name="Normal 3 10" xfId="1499"/>
    <cellStyle name="Normal 3 11" xfId="1500"/>
    <cellStyle name="Normal 3 12" xfId="1501"/>
    <cellStyle name="Normal 3 13" xfId="1502"/>
    <cellStyle name="Normal 3 14" xfId="1503"/>
    <cellStyle name="Normal 3 15" xfId="1504"/>
    <cellStyle name="Normal 3 16" xfId="1505"/>
    <cellStyle name="Normal 3 17" xfId="1506"/>
    <cellStyle name="Normal 3 18" xfId="1507"/>
    <cellStyle name="Normal 3 19" xfId="1508"/>
    <cellStyle name="Normal 3 2" xfId="1509"/>
    <cellStyle name="Normal 3 2 2" xfId="1510"/>
    <cellStyle name="Normal 3 2 2 2" xfId="1511"/>
    <cellStyle name="Normal 3 2 3" xfId="1512"/>
    <cellStyle name="Normal 3 2_Ha Nam" xfId="1513"/>
    <cellStyle name="Normal 3 3" xfId="1514"/>
    <cellStyle name="Normal 3 3 2" xfId="1515"/>
    <cellStyle name="Normal 3 3 3" xfId="1516"/>
    <cellStyle name="Normal 3 3 4" xfId="1517"/>
    <cellStyle name="Normal 3 4" xfId="1518"/>
    <cellStyle name="Normal 3 4 2" xfId="1519"/>
    <cellStyle name="Normal 3 5" xfId="1520"/>
    <cellStyle name="Normal 3 6" xfId="1521"/>
    <cellStyle name="Normal 3 7" xfId="1522"/>
    <cellStyle name="Normal 3 8" xfId="1523"/>
    <cellStyle name="Normal 3 9" xfId="1524"/>
    <cellStyle name="Normal 3_11.Sơn Tay" xfId="1525"/>
    <cellStyle name="Normal 33" xfId="1526"/>
    <cellStyle name="Normal 4" xfId="1527"/>
    <cellStyle name="Normal 4 10" xfId="1528"/>
    <cellStyle name="Normal 4 11" xfId="1529"/>
    <cellStyle name="Normal 4 12" xfId="1530"/>
    <cellStyle name="Normal 4 13" xfId="1531"/>
    <cellStyle name="Normal 4 14" xfId="1532"/>
    <cellStyle name="Normal 4 15" xfId="1533"/>
    <cellStyle name="Normal 4 16" xfId="1534"/>
    <cellStyle name="Normal 4 17" xfId="1535"/>
    <cellStyle name="Normal 4 18" xfId="1536"/>
    <cellStyle name="Normal 4 19" xfId="1537"/>
    <cellStyle name="Normal 4 2" xfId="1538"/>
    <cellStyle name="Normal 4 2 2" xfId="1539"/>
    <cellStyle name="Normal 4 2 3" xfId="1540"/>
    <cellStyle name="Normal 4 20" xfId="1541"/>
    <cellStyle name="Normal 4 3" xfId="1542"/>
    <cellStyle name="Normal 4 4" xfId="1543"/>
    <cellStyle name="Normal 4 5" xfId="1544"/>
    <cellStyle name="Normal 4 6" xfId="1545"/>
    <cellStyle name="Normal 4 7" xfId="1546"/>
    <cellStyle name="Normal 4 8" xfId="1547"/>
    <cellStyle name="Normal 4 9" xfId="1548"/>
    <cellStyle name="Normal 4_Bang bieu" xfId="1549"/>
    <cellStyle name="Normal 40" xfId="1550"/>
    <cellStyle name="Normal 5" xfId="1551"/>
    <cellStyle name="Normal 5 2" xfId="1552"/>
    <cellStyle name="Normal 5 3" xfId="1553"/>
    <cellStyle name="Normal 5 4" xfId="1554"/>
    <cellStyle name="Normal 5_BẢNG TỔNG HỢP" xfId="1555"/>
    <cellStyle name="Normal 50" xfId="1556"/>
    <cellStyle name="Normal 51" xfId="1557"/>
    <cellStyle name="Normal 52" xfId="1558"/>
    <cellStyle name="Normal 55" xfId="1559"/>
    <cellStyle name="Normal 56" xfId="1560"/>
    <cellStyle name="Normal 6" xfId="1561"/>
    <cellStyle name="Normal 6 2" xfId="1562"/>
    <cellStyle name="Normal 6 3" xfId="1563"/>
    <cellStyle name="Normal 6 4" xfId="1564"/>
    <cellStyle name="Normal 6_BẢNG TỔNG HỢP" xfId="1565"/>
    <cellStyle name="Normal 62" xfId="1566"/>
    <cellStyle name="Normal 63" xfId="1567"/>
    <cellStyle name="Normal 65" xfId="2138"/>
    <cellStyle name="Normal 7" xfId="1568"/>
    <cellStyle name="Normal 7 2" xfId="1569"/>
    <cellStyle name="Normal 7 2 2" xfId="1570"/>
    <cellStyle name="Normal 7 2 3" xfId="1571"/>
    <cellStyle name="Normal 7 3" xfId="1572"/>
    <cellStyle name="Normal 7 4" xfId="1573"/>
    <cellStyle name="Normal 7 5" xfId="1574"/>
    <cellStyle name="Normal 7 6" xfId="1575"/>
    <cellStyle name="Normal 7_Bieu chi tiet tang quy mo, dch ky thuat 4" xfId="1576"/>
    <cellStyle name="Normal 8" xfId="1577"/>
    <cellStyle name="Normal 8 2" xfId="1578"/>
    <cellStyle name="Normal 8 2 2" xfId="1579"/>
    <cellStyle name="Normal 8 2_Phuongangiao 1-giaoxulykythuat" xfId="1580"/>
    <cellStyle name="Normal 8 4" xfId="1581"/>
    <cellStyle name="Normal 8_Bieu 2 TH nganh, linh vuc" xfId="1582"/>
    <cellStyle name="Normal 9" xfId="1583"/>
    <cellStyle name="Normal 9 2" xfId="1584"/>
    <cellStyle name="Normal 9 3" xfId="1585"/>
    <cellStyle name="Normal 9_Bieu 2 TH nganh, linh vuc" xfId="1586"/>
    <cellStyle name="Normal_Bieu mau (CV )" xfId="1587"/>
    <cellStyle name="Normal1" xfId="1588"/>
    <cellStyle name="Normal8" xfId="1589"/>
    <cellStyle name="NORMAL-ADB" xfId="1590"/>
    <cellStyle name="Normalny_Cennik obowiazuje od 06-08-2001 r (1)" xfId="1591"/>
    <cellStyle name="NormaŬ_Book2" xfId="1592"/>
    <cellStyle name="Note 2" xfId="1593"/>
    <cellStyle name="Note 2 2" xfId="1594"/>
    <cellStyle name="Note 3" xfId="1595"/>
    <cellStyle name="NWM" xfId="1596"/>
    <cellStyle name="nga" xfId="1377"/>
    <cellStyle name="Nhấn1" xfId="1378"/>
    <cellStyle name="Nhấn2" xfId="1379"/>
    <cellStyle name="Nhấn3" xfId="1380"/>
    <cellStyle name="Nhấn4" xfId="1381"/>
    <cellStyle name="Nhấn5" xfId="1382"/>
    <cellStyle name="Nhấn6" xfId="1383"/>
    <cellStyle name="Ò_x000d_Normal_123569" xfId="1597"/>
    <cellStyle name="Œ…‹æØ‚è [0.00]_ÆÂ¹²" xfId="1598"/>
    <cellStyle name="Œ…‹æØ‚è_laroux" xfId="1599"/>
    <cellStyle name="oft Excel]_x000d__x000a_Comment=open=/f ‚ðw’è‚·‚é‚ÆAƒ†[ƒU[’è‹`ŠÖ”‚ðŠÖ”“\‚è•t‚¯‚Ìˆê——‚É“o˜^‚·‚é‚±‚Æ‚ª‚Å‚«‚Ü‚·B_x000d__x000a_Maximized" xfId="1600"/>
    <cellStyle name="oft Excel]_x000d__x000a_Comment=open=/f ‚ðŽw’è‚·‚é‚ÆAƒ†[ƒU[’è‹`ŠÖ”‚ðŠÖ”“\‚è•t‚¯‚Ìˆê——‚É“o˜^‚·‚é‚±‚Æ‚ª‚Å‚«‚Ü‚·B_x000d__x000a_Maximized" xfId="1601"/>
    <cellStyle name="oft Excel]_x000d__x000a_Comment=The open=/f lines load custom functions into the Paste Function list._x000d__x000a_Maximized=2_x000d__x000a_Basics=1_x000d__x000a_A" xfId="1602"/>
    <cellStyle name="oft Excel]_x000d__x000a_Comment=The open=/f lines load custom functions into the Paste Function list._x000d__x000a_Maximized=3_x000d__x000a_Basics=1_x000d__x000a_A" xfId="1603"/>
    <cellStyle name="omma [0]_Mktg Prog" xfId="1604"/>
    <cellStyle name="ormal_Sheet1_1" xfId="1605"/>
    <cellStyle name="Output 2" xfId="1606"/>
    <cellStyle name="Output 2 2" xfId="1607"/>
    <cellStyle name="Output 3" xfId="1608"/>
    <cellStyle name="p" xfId="1609"/>
    <cellStyle name="P1D" xfId="1610"/>
    <cellStyle name="Pattern" xfId="1611"/>
    <cellStyle name="per.style" xfId="1612"/>
    <cellStyle name="Percent" xfId="1613" builtinId="5"/>
    <cellStyle name="Percent [0]" xfId="1614"/>
    <cellStyle name="Percent [00]" xfId="1615"/>
    <cellStyle name="Percent [2]" xfId="1616"/>
    <cellStyle name="Percent 2" xfId="1617"/>
    <cellStyle name="Percent 2 2" xfId="1618"/>
    <cellStyle name="Percent 3" xfId="1619"/>
    <cellStyle name="Percent 4" xfId="1620"/>
    <cellStyle name="Percent 4 2" xfId="1621"/>
    <cellStyle name="Percent 7" xfId="1622"/>
    <cellStyle name="PERCENTAGE" xfId="1623"/>
    <cellStyle name="Pourcentage" xfId="1625"/>
    <cellStyle name="PrePop Currency (0)" xfId="1626"/>
    <cellStyle name="PrePop Currency (2)" xfId="1627"/>
    <cellStyle name="PrePop Units (0)" xfId="1628"/>
    <cellStyle name="PrePop Units (1)" xfId="1629"/>
    <cellStyle name="PrePop Units (2)" xfId="1630"/>
    <cellStyle name="pricing" xfId="1631"/>
    <cellStyle name="PSChar" xfId="1632"/>
    <cellStyle name="PSHeading" xfId="1633"/>
    <cellStyle name="PHONG" xfId="1624"/>
    <cellStyle name="Quantity" xfId="1634"/>
    <cellStyle name="regstoresfromspecstores" xfId="1635"/>
    <cellStyle name="RevList" xfId="1636"/>
    <cellStyle name="ri" xfId="1637"/>
    <cellStyle name="rlink_tiªn l­în_x001b_Hyperlink_TONG HOP KINH PHI" xfId="1638"/>
    <cellStyle name="rmal_ADAdot" xfId="1639"/>
    <cellStyle name="RowLevel_0" xfId="1640"/>
    <cellStyle name="S—_x0008_" xfId="1641"/>
    <cellStyle name="S—_x0008_??????????????????‚_x0001_????&lt;i·0??????????_x0007_?_x0010__x0001_??PrintDT??9JS—_x0008_?????????????" xfId="1642"/>
    <cellStyle name="s]_x000d__x000a_spooler=yes_x000d__x000a_load=_x000d__x000a_Beep=yes_x000d__x000a_NullPort=None_x000d__x000a_BorderWidth=3_x000d__x000a_CursorBlinkRate=1200_x000d__x000a_DoubleClickSpeed=452_x000d__x000a_Programs=co" xfId="1643"/>
    <cellStyle name="S1D" xfId="1644"/>
    <cellStyle name="SAPBEXaggData" xfId="1645"/>
    <cellStyle name="SAPBEXaggDataEmph" xfId="1646"/>
    <cellStyle name="SAPBEXaggItem" xfId="1647"/>
    <cellStyle name="SAPBEXchaText" xfId="1648"/>
    <cellStyle name="SAPBEXexcBad7" xfId="1649"/>
    <cellStyle name="SAPBEXexcBad8" xfId="1650"/>
    <cellStyle name="SAPBEXexcBad9" xfId="1651"/>
    <cellStyle name="SAPBEXexcCritical4" xfId="1652"/>
    <cellStyle name="SAPBEXexcCritical5" xfId="1653"/>
    <cellStyle name="SAPBEXexcCritical6" xfId="1654"/>
    <cellStyle name="SAPBEXexcGood1" xfId="1655"/>
    <cellStyle name="SAPBEXexcGood2" xfId="1656"/>
    <cellStyle name="SAPBEXexcGood3" xfId="1657"/>
    <cellStyle name="SAPBEXfilterDrill" xfId="1658"/>
    <cellStyle name="SAPBEXfilterItem" xfId="1659"/>
    <cellStyle name="SAPBEXfilterText" xfId="1660"/>
    <cellStyle name="SAPBEXformats" xfId="1661"/>
    <cellStyle name="SAPBEXheaderItem" xfId="1662"/>
    <cellStyle name="SAPBEXheaderText" xfId="1663"/>
    <cellStyle name="SAPBEXresData" xfId="1664"/>
    <cellStyle name="SAPBEXresDataEmph" xfId="1665"/>
    <cellStyle name="SAPBEXresItem" xfId="1666"/>
    <cellStyle name="SAPBEXstdData" xfId="1667"/>
    <cellStyle name="SAPBEXstdDataEmph" xfId="1668"/>
    <cellStyle name="SAPBEXstdItem" xfId="1669"/>
    <cellStyle name="SAPBEXtitle" xfId="1670"/>
    <cellStyle name="SAPBEXundefined" xfId="1671"/>
    <cellStyle name="serJet 1200 Series PCL 6" xfId="1672"/>
    <cellStyle name="SHADEDSTORES" xfId="1673"/>
    <cellStyle name="Sheet Title" xfId="1674"/>
    <cellStyle name="Siêu nối kết_Book1" xfId="1675"/>
    <cellStyle name="so" xfId="1676"/>
    <cellStyle name="SO%" xfId="1677"/>
    <cellStyle name="so_Di doi ong quoc lo 26" xfId="1678"/>
    <cellStyle name="songuyen" xfId="1679"/>
    <cellStyle name="specstores" xfId="1680"/>
    <cellStyle name="ST_06" xfId="1681"/>
    <cellStyle name="Standard_AAbgleich" xfId="1682"/>
    <cellStyle name="STEP1" xfId="1683"/>
    <cellStyle name="STEP2" xfId="1684"/>
    <cellStyle name="STT" xfId="1685"/>
    <cellStyle name="STTDG" xfId="1686"/>
    <cellStyle name="Style 1" xfId="1687"/>
    <cellStyle name="Style 1 2" xfId="1688"/>
    <cellStyle name="Style 1 3" xfId="1689"/>
    <cellStyle name="Style 1 4" xfId="1690"/>
    <cellStyle name="Style 10" xfId="1691"/>
    <cellStyle name="Style 11" xfId="1692"/>
    <cellStyle name="Style 12" xfId="1693"/>
    <cellStyle name="Style 13" xfId="1694"/>
    <cellStyle name="Style 14" xfId="1695"/>
    <cellStyle name="Style 15" xfId="1696"/>
    <cellStyle name="Style 16" xfId="1697"/>
    <cellStyle name="Style 17" xfId="1698"/>
    <cellStyle name="Style 18" xfId="1699"/>
    <cellStyle name="Style 19" xfId="1700"/>
    <cellStyle name="Style 2" xfId="1701"/>
    <cellStyle name="Style 20" xfId="1702"/>
    <cellStyle name="Style 21" xfId="1703"/>
    <cellStyle name="Style 22" xfId="1704"/>
    <cellStyle name="Style 23" xfId="1705"/>
    <cellStyle name="Style 24" xfId="1706"/>
    <cellStyle name="Style 25" xfId="1707"/>
    <cellStyle name="Style 26" xfId="1708"/>
    <cellStyle name="Style 27" xfId="1709"/>
    <cellStyle name="Style 28" xfId="1710"/>
    <cellStyle name="Style 29" xfId="1711"/>
    <cellStyle name="Style 3" xfId="1712"/>
    <cellStyle name="Style 30" xfId="1713"/>
    <cellStyle name="Style 31" xfId="1714"/>
    <cellStyle name="Style 32" xfId="1715"/>
    <cellStyle name="Style 33" xfId="1716"/>
    <cellStyle name="Style 34" xfId="1717"/>
    <cellStyle name="Style 35" xfId="1718"/>
    <cellStyle name="Style 36" xfId="1719"/>
    <cellStyle name="Style 37" xfId="1720"/>
    <cellStyle name="Style 38" xfId="1721"/>
    <cellStyle name="Style 39" xfId="1722"/>
    <cellStyle name="Style 4" xfId="1723"/>
    <cellStyle name="Style 40" xfId="1724"/>
    <cellStyle name="Style 41" xfId="1725"/>
    <cellStyle name="Style 42" xfId="1726"/>
    <cellStyle name="Style 43" xfId="1727"/>
    <cellStyle name="Style 44" xfId="1728"/>
    <cellStyle name="Style 45" xfId="1729"/>
    <cellStyle name="Style 46" xfId="1730"/>
    <cellStyle name="Style 47" xfId="1731"/>
    <cellStyle name="Style 48" xfId="1732"/>
    <cellStyle name="Style 49" xfId="1733"/>
    <cellStyle name="Style 5" xfId="1734"/>
    <cellStyle name="Style 50" xfId="1735"/>
    <cellStyle name="Style 51" xfId="1736"/>
    <cellStyle name="Style 52" xfId="1737"/>
    <cellStyle name="Style 53" xfId="1738"/>
    <cellStyle name="Style 54" xfId="1739"/>
    <cellStyle name="Style 55" xfId="1740"/>
    <cellStyle name="Style 56" xfId="1741"/>
    <cellStyle name="Style 57" xfId="1742"/>
    <cellStyle name="Style 58" xfId="1743"/>
    <cellStyle name="Style 59" xfId="1744"/>
    <cellStyle name="Style 6" xfId="1745"/>
    <cellStyle name="Style 60" xfId="1746"/>
    <cellStyle name="Style 61" xfId="1747"/>
    <cellStyle name="Style 62" xfId="1748"/>
    <cellStyle name="Style 63" xfId="1749"/>
    <cellStyle name="Style 64" xfId="1750"/>
    <cellStyle name="Style 65" xfId="1751"/>
    <cellStyle name="Style 66" xfId="1752"/>
    <cellStyle name="Style 67" xfId="1753"/>
    <cellStyle name="Style 68" xfId="1754"/>
    <cellStyle name="Style 69" xfId="1755"/>
    <cellStyle name="Style 7" xfId="1756"/>
    <cellStyle name="Style 70" xfId="1757"/>
    <cellStyle name="Style 71" xfId="1758"/>
    <cellStyle name="Style 72" xfId="1759"/>
    <cellStyle name="Style 73" xfId="1760"/>
    <cellStyle name="Style 74" xfId="1761"/>
    <cellStyle name="Style 75" xfId="1762"/>
    <cellStyle name="Style 76" xfId="1763"/>
    <cellStyle name="Style 77" xfId="1764"/>
    <cellStyle name="Style 78" xfId="1765"/>
    <cellStyle name="Style 79" xfId="1766"/>
    <cellStyle name="Style 8" xfId="1767"/>
    <cellStyle name="Style 80" xfId="1768"/>
    <cellStyle name="Style 81" xfId="1769"/>
    <cellStyle name="Style 82" xfId="1770"/>
    <cellStyle name="Style 83" xfId="1771"/>
    <cellStyle name="Style 84" xfId="1772"/>
    <cellStyle name="Style 85" xfId="1773"/>
    <cellStyle name="Style 86" xfId="1774"/>
    <cellStyle name="Style 87" xfId="1775"/>
    <cellStyle name="Style 88" xfId="1776"/>
    <cellStyle name="Style 89" xfId="1777"/>
    <cellStyle name="Style 9" xfId="1778"/>
    <cellStyle name="Style 90" xfId="1779"/>
    <cellStyle name="Style 91" xfId="1780"/>
    <cellStyle name="Style 92" xfId="1781"/>
    <cellStyle name="Style 93" xfId="1782"/>
    <cellStyle name="Style 94" xfId="1783"/>
    <cellStyle name="Style 95" xfId="1784"/>
    <cellStyle name="Style Date" xfId="1785"/>
    <cellStyle name="style_1" xfId="1786"/>
    <cellStyle name="subhead" xfId="1787"/>
    <cellStyle name="Subtotal" xfId="1788"/>
    <cellStyle name="symbol" xfId="1789"/>
    <cellStyle name="T" xfId="1790"/>
    <cellStyle name="T 2" xfId="1791"/>
    <cellStyle name="T_07" xfId="1792"/>
    <cellStyle name="T_bao cao" xfId="1793"/>
    <cellStyle name="T_Bao cao so lieu kiem toan nam 2007 sua" xfId="1794"/>
    <cellStyle name="T_Bao cao so lieu kiem toan nam 2007 sua_Ha Nam" xfId="1795"/>
    <cellStyle name="T_Bao cao so lieu kiem toan nam 2007 sua_Ha Nam_Tinh hinh thuc hien TPCP 2013 va KH 2014" xfId="1796"/>
    <cellStyle name="T_Bao cao so lieu kiem toan nam 2007 sua_Tinh hinh thuc hien TPCP 2013 va KH 2014" xfId="1797"/>
    <cellStyle name="T_bao cao_Ha Nam" xfId="1798"/>
    <cellStyle name="T_BBTNG-06" xfId="1799"/>
    <cellStyle name="T_BBTNG-06_Ha Nam" xfId="1800"/>
    <cellStyle name="T_BC  NAM 2007" xfId="1801"/>
    <cellStyle name="T_BC CTMT-2008 Ttinh" xfId="1802"/>
    <cellStyle name="T_BC CTMT-2008 Ttinh_Ha Nam" xfId="1803"/>
    <cellStyle name="T_BC CTMT-2008 Ttinh_Ha Nam_Tinh hinh thuc hien TPCP 2013 va KH 2014" xfId="1804"/>
    <cellStyle name="T_BC CTMT-2008 Ttinh_Tinh hinh thuc hien TPCP 2013 va KH 2014" xfId="1805"/>
    <cellStyle name="T_Bieu KH 2008" xfId="1806"/>
    <cellStyle name="T_Bieu mau cong trinh khoi cong moi 3-4" xfId="1807"/>
    <cellStyle name="T_Bieu mau danh muc du an thuoc CTMTQG nam 2008" xfId="1808"/>
    <cellStyle name="T_Bieu mau danh muc du an thuoc CTMTQG nam 2008_Ha Nam" xfId="1809"/>
    <cellStyle name="T_Bieu mau danh muc du an thuoc CTMTQG nam 2008_Ha Nam_Tinh hinh thuc hien TPCP 2013 va KH 2014" xfId="1810"/>
    <cellStyle name="T_Bieu mau danh muc du an thuoc CTMTQG nam 2008_Tinh hinh thuc hien TPCP 2013 va KH 2014" xfId="1811"/>
    <cellStyle name="T_Bieu tong hop nhu cau ung 2011 da chon loc -Mien nui" xfId="1812"/>
    <cellStyle name="T_Bieu tong hop nhu cau ung 2011 da chon loc -Mien nui_Ha Nam" xfId="1813"/>
    <cellStyle name="T_Bieu tong hop nhu cau ung 2011 da chon loc -Mien nui_Ha Nam_Tinh hinh thuc hien TPCP 2013 va KH 2014" xfId="1814"/>
    <cellStyle name="T_Bieu tong hop nhu cau ung 2011 da chon loc -Mien nui_Tinh hinh thuc hien TPCP 2013 va KH 2014" xfId="1815"/>
    <cellStyle name="T_Bieu3ODA" xfId="1816"/>
    <cellStyle name="T_Book1" xfId="1817"/>
    <cellStyle name="T_Book1_1" xfId="1818"/>
    <cellStyle name="T_Book1_1_Bieu tong hop nhu cau ung 2011 da chon loc -Mien nui" xfId="1819"/>
    <cellStyle name="T_Book1_1_Bieu tong hop nhu cau ung 2011 da chon loc -Mien nui_Ha Nam" xfId="1820"/>
    <cellStyle name="T_Book1_1_Bieu tong hop nhu cau ung 2011 da chon loc -Mien nui_Ha Nam_Tinh hinh thuc hien TPCP 2013 va KH 2014" xfId="1821"/>
    <cellStyle name="T_Book1_1_Bieu tong hop nhu cau ung 2011 da chon loc -Mien nui_Tinh hinh thuc hien TPCP 2013 va KH 2014" xfId="1822"/>
    <cellStyle name="T_Book1_1_CPK" xfId="1823"/>
    <cellStyle name="T_Book1_1_CPK_Ha Nam" xfId="1824"/>
    <cellStyle name="T_Book1_1_Ha Nam" xfId="1825"/>
    <cellStyle name="T_Book1_1_Luy ke von ung nam 2011 -Thoa gui ngay 12-8-2012" xfId="1826"/>
    <cellStyle name="T_Book1_1_Luy ke von ung nam 2011 -Thoa gui ngay 12-8-2012_Ha Nam" xfId="1827"/>
    <cellStyle name="T_Book1_1_Luy ke von ung nam 2011 -Thoa gui ngay 12-8-2012_Ha Nam_Tinh hinh thuc hien TPCP 2013 va KH 2014" xfId="1828"/>
    <cellStyle name="T_Book1_1_Luy ke von ung nam 2011 -Thoa gui ngay 12-8-2012_Tinh hinh thuc hien TPCP 2013 va KH 2014" xfId="1829"/>
    <cellStyle name="T_Book1_1_Thiet bi" xfId="1830"/>
    <cellStyle name="T_Book1_1_Thiet bi_Ha Nam" xfId="1831"/>
    <cellStyle name="T_Book1_2" xfId="1832"/>
    <cellStyle name="T_Book1_3" xfId="1833"/>
    <cellStyle name="T_Book1_BC NQ11-CP - chinh sua lai" xfId="1834"/>
    <cellStyle name="T_Book1_BC NQ11-CP - chinh sua lai_Ha Nam" xfId="1835"/>
    <cellStyle name="T_Book1_BC NQ11-CP-Quynh sau bieu so3" xfId="1836"/>
    <cellStyle name="T_Book1_BC NQ11-CP-Quynh sau bieu so3_Ha Nam" xfId="1837"/>
    <cellStyle name="T_Book1_BC_NQ11-CP_-_Thao_sua_lai" xfId="1838"/>
    <cellStyle name="T_Book1_BC_NQ11-CP_-_Thao_sua_lai_Ha Nam" xfId="1839"/>
    <cellStyle name="T_Book1_Bieu mau cong trinh khoi cong moi 3-4" xfId="1840"/>
    <cellStyle name="T_Book1_Bieu mau cong trinh khoi cong moi 3-4_Tinh hinh thuc hien TPCP 2013 va KH 2014" xfId="1841"/>
    <cellStyle name="T_Book1_Bieu mau danh muc du an thuoc CTMTQG nam 2008" xfId="1842"/>
    <cellStyle name="T_Book1_Bieu mau danh muc du an thuoc CTMTQG nam 2008_Ha Nam" xfId="1843"/>
    <cellStyle name="T_Book1_Bieu mau danh muc du an thuoc CTMTQG nam 2008_Ha Nam_Tinh hinh thuc hien TPCP 2013 va KH 2014" xfId="1844"/>
    <cellStyle name="T_Book1_Bieu mau danh muc du an thuoc CTMTQG nam 2008_Tinh hinh thuc hien TPCP 2013 va KH 2014" xfId="1845"/>
    <cellStyle name="T_Book1_Bieu tong hop nhu cau ung 2011 da chon loc -Mien nui" xfId="1846"/>
    <cellStyle name="T_Book1_Bieu tong hop nhu cau ung 2011 da chon loc -Mien nui_Ha Nam" xfId="1847"/>
    <cellStyle name="T_Book1_Bieu tong hop nhu cau ung 2011 da chon loc -Mien nui_Ha Nam_Tinh hinh thuc hien TPCP 2013 va KH 2014" xfId="1848"/>
    <cellStyle name="T_Book1_Bieu tong hop nhu cau ung 2011 da chon loc -Mien nui_Tinh hinh thuc hien TPCP 2013 va KH 2014" xfId="1849"/>
    <cellStyle name="T_Book1_Bieu3ODA" xfId="1850"/>
    <cellStyle name="T_Book1_Book1" xfId="1851"/>
    <cellStyle name="T_Book1_Book1_1" xfId="1852"/>
    <cellStyle name="T_Book1_Book1_Ha Nam" xfId="1853"/>
    <cellStyle name="T_Book1_Cong trinh co y kien LD_Dang_NN_2011-Tay nguyen-9-10" xfId="1854"/>
    <cellStyle name="T_Book1_Cong trinh co y kien LD_Dang_NN_2011-Tay nguyen-9-10_Ha Nam" xfId="1855"/>
    <cellStyle name="T_Book1_Cong trinh co y kien LD_Dang_NN_2011-Tay nguyen-9-10_Ha Nam_Tinh hinh thuc hien TPCP 2013 va KH 2014" xfId="1856"/>
    <cellStyle name="T_Book1_Cong trinh co y kien LD_Dang_NN_2011-Tay nguyen-9-10_Tinh hinh thuc hien TPCP 2013 va KH 2014" xfId="1857"/>
    <cellStyle name="T_Book1_CPK" xfId="1858"/>
    <cellStyle name="T_Book1_CPK_Ha Nam" xfId="1859"/>
    <cellStyle name="T_Book1_Du an khoi cong moi nam 2010" xfId="1860"/>
    <cellStyle name="T_Book1_Du an khoi cong moi nam 2010_Ha Nam" xfId="1861"/>
    <cellStyle name="T_Book1_Du an khoi cong moi nam 2010_Ha Nam_Tinh hinh thuc hien TPCP 2013 va KH 2014" xfId="1862"/>
    <cellStyle name="T_Book1_Du an khoi cong moi nam 2010_Tinh hinh thuc hien TPCP 2013 va KH 2014" xfId="1863"/>
    <cellStyle name="T_Book1_Ha Nam" xfId="1864"/>
    <cellStyle name="T_Book1_Hang Tom goi9 9-07(Cau 12 sua)" xfId="1865"/>
    <cellStyle name="T_Book1_Ket qua phan bo von nam 2008" xfId="1866"/>
    <cellStyle name="T_Book1_Ket qua phan bo von nam 2008_Ha Nam" xfId="1867"/>
    <cellStyle name="T_Book1_Ket qua phan bo von nam 2008_Ha Nam_Tinh hinh thuc hien TPCP 2013 va KH 2014" xfId="1868"/>
    <cellStyle name="T_Book1_Ket qua phan bo von nam 2008_Tinh hinh thuc hien TPCP 2013 va KH 2014" xfId="1869"/>
    <cellStyle name="T_Book1_KH XDCB_2008 lan 2 sua ngay 10-11" xfId="1870"/>
    <cellStyle name="T_Book1_KH XDCB_2008 lan 2 sua ngay 10-11_Ha Nam" xfId="1871"/>
    <cellStyle name="T_Book1_KH XDCB_2008 lan 2 sua ngay 10-11_Ha Nam_Tinh hinh thuc hien TPCP 2013 va KH 2014" xfId="1872"/>
    <cellStyle name="T_Book1_KH XDCB_2008 lan 2 sua ngay 10-11_Tinh hinh thuc hien TPCP 2013 va KH 2014" xfId="1873"/>
    <cellStyle name="T_Book1_Khoi luong chinh Hang Tom" xfId="1874"/>
    <cellStyle name="T_Book1_Luy ke von ung nam 2011 -Thoa gui ngay 12-8-2012" xfId="1875"/>
    <cellStyle name="T_Book1_Luy ke von ung nam 2011 -Thoa gui ngay 12-8-2012_Ha Nam" xfId="1876"/>
    <cellStyle name="T_Book1_Luy ke von ung nam 2011 -Thoa gui ngay 12-8-2012_Ha Nam_Tinh hinh thuc hien TPCP 2013 va KH 2014" xfId="1877"/>
    <cellStyle name="T_Book1_Luy ke von ung nam 2011 -Thoa gui ngay 12-8-2012_Tinh hinh thuc hien TPCP 2013 va KH 2014" xfId="1878"/>
    <cellStyle name="T_Book1_Nhu cau von ung truoc 2011 Tha h Hoa + Nge An gui TW" xfId="1879"/>
    <cellStyle name="T_Book1_Nhu cau von ung truoc 2011 Tha h Hoa + Nge An gui TW_Ha Nam" xfId="1880"/>
    <cellStyle name="T_Book1_phu luc tong ket tinh hinh TH giai doan 03-10 (ngay 30)" xfId="1881"/>
    <cellStyle name="T_Book1_phu luc tong ket tinh hinh TH giai doan 03-10 (ngay 30)_Ha Nam" xfId="1882"/>
    <cellStyle name="T_Book1_phu luc tong ket tinh hinh TH giai doan 03-10 (ngay 30)_Ha Nam_Tinh hinh thuc hien TPCP 2013 va KH 2014" xfId="1883"/>
    <cellStyle name="T_Book1_phu luc tong ket tinh hinh TH giai doan 03-10 (ngay 30)_Tinh hinh thuc hien TPCP 2013 va KH 2014" xfId="1884"/>
    <cellStyle name="T_Book1_Tinh hinh thuc hien TPCP 2013 va KH 2014" xfId="1895"/>
    <cellStyle name="T_Book1_TN - Ho tro khac 2011" xfId="1896"/>
    <cellStyle name="T_Book1_TN - Ho tro khac 2011_Ha Nam" xfId="1897"/>
    <cellStyle name="T_Book1_TN - Ho tro khac 2011_Ha Nam_Tinh hinh thuc hien TPCP 2013 va KH 2014" xfId="1898"/>
    <cellStyle name="T_Book1_TN - Ho tro khac 2011_Tinh hinh thuc hien TPCP 2013 va KH 2014" xfId="1899"/>
    <cellStyle name="T_Book1_TH ung tren 70%-Ra soat phap ly-8-6 (dung de chuyen vao vu TH)" xfId="1885"/>
    <cellStyle name="T_Book1_TH ung tren 70%-Ra soat phap ly-8-6 (dung de chuyen vao vu TH)_Ha Nam" xfId="1886"/>
    <cellStyle name="T_Book1_TH ung tren 70%-Ra soat phap ly-8-6 (dung de chuyen vao vu TH)_Ha Nam_Tinh hinh thuc hien TPCP 2013 va KH 2014" xfId="1887"/>
    <cellStyle name="T_Book1_TH ung tren 70%-Ra soat phap ly-8-6 (dung de chuyen vao vu TH)_Tinh hinh thuc hien TPCP 2013 va KH 2014" xfId="1888"/>
    <cellStyle name="T_Book1_TH y kien LD_KH 2010 Ca Nuoc 22-9-2011-Gui ca Vu" xfId="1889"/>
    <cellStyle name="T_Book1_TH y kien LD_KH 2010 Ca Nuoc 22-9-2011-Gui ca Vu_Ha Nam" xfId="1890"/>
    <cellStyle name="T_Book1_TH y kien LD_KH 2010 Ca Nuoc 22-9-2011-Gui ca Vu_Ha Nam_Tinh hinh thuc hien TPCP 2013 va KH 2014" xfId="1891"/>
    <cellStyle name="T_Book1_TH y kien LD_KH 2010 Ca Nuoc 22-9-2011-Gui ca Vu_Tinh hinh thuc hien TPCP 2013 va KH 2014" xfId="1892"/>
    <cellStyle name="T_Book1_Thiet bi" xfId="1893"/>
    <cellStyle name="T_Book1_Thiet bi_Ha Nam" xfId="1894"/>
    <cellStyle name="T_Book1_ung truoc 2011 NSTW Thanh Hoa + Nge An gui Thu 12-5" xfId="1900"/>
    <cellStyle name="T_Book1_ung truoc 2011 NSTW Thanh Hoa + Nge An gui Thu 12-5_Ha Nam" xfId="1901"/>
    <cellStyle name="T_Copy of Bao cao  XDCB 7 thang nam 2008_So KH&amp;DT SUA" xfId="1906"/>
    <cellStyle name="T_Copy of Bao cao  XDCB 7 thang nam 2008_So KH&amp;DT SUA_Ha Nam" xfId="1907"/>
    <cellStyle name="T_Copy of Bao cao  XDCB 7 thang nam 2008_So KH&amp;DT SUA_Ha Nam_Tinh hinh thuc hien TPCP 2013 va KH 2014" xfId="1908"/>
    <cellStyle name="T_Copy of Bao cao  XDCB 7 thang nam 2008_So KH&amp;DT SUA_Tinh hinh thuc hien TPCP 2013 va KH 2014" xfId="1909"/>
    <cellStyle name="T_CPK" xfId="1910"/>
    <cellStyle name="T_CPK_Ha Nam" xfId="1911"/>
    <cellStyle name="T_CTMTQG 2008" xfId="1912"/>
    <cellStyle name="T_CTMTQG 2008_Bieu mau danh muc du an thuoc CTMTQG nam 2008" xfId="1913"/>
    <cellStyle name="T_CTMTQG 2008_Bieu mau danh muc du an thuoc CTMTQG nam 2008_Ha Nam" xfId="1914"/>
    <cellStyle name="T_CTMTQG 2008_Bieu mau danh muc du an thuoc CTMTQG nam 2008_Ha Nam_Tinh hinh thuc hien TPCP 2013 va KH 2014" xfId="1915"/>
    <cellStyle name="T_CTMTQG 2008_Bieu mau danh muc du an thuoc CTMTQG nam 2008_Tinh hinh thuc hien TPCP 2013 va KH 2014" xfId="1916"/>
    <cellStyle name="T_CTMTQG 2008_Ha Nam" xfId="1917"/>
    <cellStyle name="T_CTMTQG 2008_Ha Nam_Tinh hinh thuc hien TPCP 2013 va KH 2014" xfId="1918"/>
    <cellStyle name="T_CTMTQG 2008_Hi-Tong hop KQ phan bo KH nam 08- LD fong giao 15-11-08" xfId="1919"/>
    <cellStyle name="T_CTMTQG 2008_Hi-Tong hop KQ phan bo KH nam 08- LD fong giao 15-11-08_Ha Nam" xfId="1920"/>
    <cellStyle name="T_CTMTQG 2008_Hi-Tong hop KQ phan bo KH nam 08- LD fong giao 15-11-08_Ha Nam_Tinh hinh thuc hien TPCP 2013 va KH 2014" xfId="1921"/>
    <cellStyle name="T_CTMTQG 2008_Hi-Tong hop KQ phan bo KH nam 08- LD fong giao 15-11-08_Tinh hinh thuc hien TPCP 2013 va KH 2014" xfId="1922"/>
    <cellStyle name="T_CTMTQG 2008_Ket qua thuc hien nam 2008" xfId="1923"/>
    <cellStyle name="T_CTMTQG 2008_Ket qua thuc hien nam 2008_Ha Nam" xfId="1924"/>
    <cellStyle name="T_CTMTQG 2008_Ket qua thuc hien nam 2008_Ha Nam_Tinh hinh thuc hien TPCP 2013 va KH 2014" xfId="1925"/>
    <cellStyle name="T_CTMTQG 2008_Ket qua thuc hien nam 2008_Tinh hinh thuc hien TPCP 2013 va KH 2014" xfId="1926"/>
    <cellStyle name="T_CTMTQG 2008_KH XDCB_2008 lan 1" xfId="1927"/>
    <cellStyle name="T_CTMTQG 2008_KH XDCB_2008 lan 1 sua ngay 27-10" xfId="1928"/>
    <cellStyle name="T_CTMTQG 2008_KH XDCB_2008 lan 1 sua ngay 27-10_Ha Nam" xfId="1929"/>
    <cellStyle name="T_CTMTQG 2008_KH XDCB_2008 lan 1 sua ngay 27-10_Ha Nam_Tinh hinh thuc hien TPCP 2013 va KH 2014" xfId="1930"/>
    <cellStyle name="T_CTMTQG 2008_KH XDCB_2008 lan 1 sua ngay 27-10_Tinh hinh thuc hien TPCP 2013 va KH 2014" xfId="1931"/>
    <cellStyle name="T_CTMTQG 2008_KH XDCB_2008 lan 1_Ha Nam" xfId="1932"/>
    <cellStyle name="T_CTMTQG 2008_KH XDCB_2008 lan 1_Ha Nam_Tinh hinh thuc hien TPCP 2013 va KH 2014" xfId="1933"/>
    <cellStyle name="T_CTMTQG 2008_KH XDCB_2008 lan 1_Tinh hinh thuc hien TPCP 2013 va KH 2014" xfId="1934"/>
    <cellStyle name="T_CTMTQG 2008_KH XDCB_2008 lan 2 sua ngay 10-11" xfId="1935"/>
    <cellStyle name="T_CTMTQG 2008_KH XDCB_2008 lan 2 sua ngay 10-11_Ha Nam" xfId="1936"/>
    <cellStyle name="T_CTMTQG 2008_KH XDCB_2008 lan 2 sua ngay 10-11_Ha Nam_Tinh hinh thuc hien TPCP 2013 va KH 2014" xfId="1937"/>
    <cellStyle name="T_CTMTQG 2008_KH XDCB_2008 lan 2 sua ngay 10-11_Tinh hinh thuc hien TPCP 2013 va KH 2014" xfId="1938"/>
    <cellStyle name="T_CTMTQG 2008_Tinh hinh thuc hien TPCP 2013 va KH 2014" xfId="1939"/>
    <cellStyle name="T_Chuan bi dau tu nam 2008" xfId="1902"/>
    <cellStyle name="T_Chuan bi dau tu nam 2008_Ha Nam" xfId="1903"/>
    <cellStyle name="T_Chuan bi dau tu nam 2008_Ha Nam_Tinh hinh thuc hien TPCP 2013 va KH 2014" xfId="1904"/>
    <cellStyle name="T_Chuan bi dau tu nam 2008_Tinh hinh thuc hien TPCP 2013 va KH 2014" xfId="1905"/>
    <cellStyle name="T_Du an khoi cong moi nam 2010" xfId="1940"/>
    <cellStyle name="T_Du an khoi cong moi nam 2010_Ha Nam" xfId="1941"/>
    <cellStyle name="T_Du an khoi cong moi nam 2010_Ha Nam_Tinh hinh thuc hien TPCP 2013 va KH 2014" xfId="1942"/>
    <cellStyle name="T_Du an khoi cong moi nam 2010_Tinh hinh thuc hien TPCP 2013 va KH 2014" xfId="1943"/>
    <cellStyle name="T_DU AN TKQH VA CHUAN BI DAU TU NAM 2007 sua ngay 9-11" xfId="1944"/>
    <cellStyle name="T_DU AN TKQH VA CHUAN BI DAU TU NAM 2007 sua ngay 9-11_Bieu mau danh muc du an thuoc CTMTQG nam 2008" xfId="1945"/>
    <cellStyle name="T_DU AN TKQH VA CHUAN BI DAU TU NAM 2007 sua ngay 9-11_Bieu mau danh muc du an thuoc CTMTQG nam 2008_Ha Nam" xfId="1946"/>
    <cellStyle name="T_DU AN TKQH VA CHUAN BI DAU TU NAM 2007 sua ngay 9-11_Bieu mau danh muc du an thuoc CTMTQG nam 2008_Ha Nam_Tinh hinh thuc hien TPCP 2013 va KH 2014" xfId="1947"/>
    <cellStyle name="T_DU AN TKQH VA CHUAN BI DAU TU NAM 2007 sua ngay 9-11_Bieu mau danh muc du an thuoc CTMTQG nam 2008_Tinh hinh thuc hien TPCP 2013 va KH 2014" xfId="1948"/>
    <cellStyle name="T_DU AN TKQH VA CHUAN BI DAU TU NAM 2007 sua ngay 9-11_Du an khoi cong moi nam 2010" xfId="1949"/>
    <cellStyle name="T_DU AN TKQH VA CHUAN BI DAU TU NAM 2007 sua ngay 9-11_Du an khoi cong moi nam 2010_Ha Nam" xfId="1950"/>
    <cellStyle name="T_DU AN TKQH VA CHUAN BI DAU TU NAM 2007 sua ngay 9-11_Du an khoi cong moi nam 2010_Ha Nam_Tinh hinh thuc hien TPCP 2013 va KH 2014" xfId="1951"/>
    <cellStyle name="T_DU AN TKQH VA CHUAN BI DAU TU NAM 2007 sua ngay 9-11_Du an khoi cong moi nam 2010_Tinh hinh thuc hien TPCP 2013 va KH 2014" xfId="1952"/>
    <cellStyle name="T_DU AN TKQH VA CHUAN BI DAU TU NAM 2007 sua ngay 9-11_Ha Nam" xfId="1953"/>
    <cellStyle name="T_DU AN TKQH VA CHUAN BI DAU TU NAM 2007 sua ngay 9-11_Ha Nam_Tinh hinh thuc hien TPCP 2013 va KH 2014" xfId="1954"/>
    <cellStyle name="T_DU AN TKQH VA CHUAN BI DAU TU NAM 2007 sua ngay 9-11_Ket qua phan bo von nam 2008" xfId="1955"/>
    <cellStyle name="T_DU AN TKQH VA CHUAN BI DAU TU NAM 2007 sua ngay 9-11_Ket qua phan bo von nam 2008_Ha Nam" xfId="1956"/>
    <cellStyle name="T_DU AN TKQH VA CHUAN BI DAU TU NAM 2007 sua ngay 9-11_Ket qua phan bo von nam 2008_Ha Nam_Tinh hinh thuc hien TPCP 2013 va KH 2014" xfId="1957"/>
    <cellStyle name="T_DU AN TKQH VA CHUAN BI DAU TU NAM 2007 sua ngay 9-11_Ket qua phan bo von nam 2008_Tinh hinh thuc hien TPCP 2013 va KH 2014" xfId="1958"/>
    <cellStyle name="T_DU AN TKQH VA CHUAN BI DAU TU NAM 2007 sua ngay 9-11_KH XDCB_2008 lan 2 sua ngay 10-11" xfId="1959"/>
    <cellStyle name="T_DU AN TKQH VA CHUAN BI DAU TU NAM 2007 sua ngay 9-11_KH XDCB_2008 lan 2 sua ngay 10-11_Ha Nam" xfId="1960"/>
    <cellStyle name="T_DU AN TKQH VA CHUAN BI DAU TU NAM 2007 sua ngay 9-11_KH XDCB_2008 lan 2 sua ngay 10-11_Ha Nam_Tinh hinh thuc hien TPCP 2013 va KH 2014" xfId="1961"/>
    <cellStyle name="T_DU AN TKQH VA CHUAN BI DAU TU NAM 2007 sua ngay 9-11_KH XDCB_2008 lan 2 sua ngay 10-11_Tinh hinh thuc hien TPCP 2013 va KH 2014" xfId="1962"/>
    <cellStyle name="T_DU AN TKQH VA CHUAN BI DAU TU NAM 2007 sua ngay 9-11_Tinh hinh thuc hien TPCP 2013 va KH 2014" xfId="1963"/>
    <cellStyle name="T_du toan dieu chinh  20-8-2006" xfId="1964"/>
    <cellStyle name="T_du toan dieu chinh  20-8-2006_Ha Nam" xfId="1965"/>
    <cellStyle name="T_Gia thau Trang Bang - Tay Ninh" xfId="1966"/>
    <cellStyle name="T_Ha Nam" xfId="1967"/>
    <cellStyle name="T_Ht-PTq1-03" xfId="1968"/>
    <cellStyle name="T_Ht-PTq1-03_Ha Nam" xfId="1969"/>
    <cellStyle name="T_Ke hoach KTXH  nam 2009_PKT thang 11 nam 2008" xfId="1970"/>
    <cellStyle name="T_Ke hoach KTXH  nam 2009_PKT thang 11 nam 2008_Ha Nam" xfId="1971"/>
    <cellStyle name="T_Ke hoach KTXH  nam 2009_PKT thang 11 nam 2008_Ha Nam_Tinh hinh thuc hien TPCP 2013 va KH 2014" xfId="1972"/>
    <cellStyle name="T_Ke hoach KTXH  nam 2009_PKT thang 11 nam 2008_Tinh hinh thuc hien TPCP 2013 va KH 2014" xfId="1973"/>
    <cellStyle name="T_Ket qua dau thau" xfId="1974"/>
    <cellStyle name="T_Ket qua dau thau_Ha Nam" xfId="1975"/>
    <cellStyle name="T_Ket qua dau thau_Ha Nam_Tinh hinh thuc hien TPCP 2013 va KH 2014" xfId="1976"/>
    <cellStyle name="T_Ket qua dau thau_Tinh hinh thuc hien TPCP 2013 va KH 2014" xfId="1977"/>
    <cellStyle name="T_Ket qua phan bo von nam 2008" xfId="1978"/>
    <cellStyle name="T_Ket qua phan bo von nam 2008_Ha Nam" xfId="1979"/>
    <cellStyle name="T_Ket qua phan bo von nam 2008_Ha Nam_Tinh hinh thuc hien TPCP 2013 va KH 2014" xfId="1980"/>
    <cellStyle name="T_Ket qua phan bo von nam 2008_Tinh hinh thuc hien TPCP 2013 va KH 2014" xfId="1981"/>
    <cellStyle name="T_KH XDCB_2008 lan 2 sua ngay 10-11" xfId="1982"/>
    <cellStyle name="T_KH XDCB_2008 lan 2 sua ngay 10-11_Ha Nam" xfId="1983"/>
    <cellStyle name="T_KH XDCB_2008 lan 2 sua ngay 10-11_Ha Nam_Tinh hinh thuc hien TPCP 2013 va KH 2014" xfId="1984"/>
    <cellStyle name="T_KH XDCB_2008 lan 2 sua ngay 10-11_Tinh hinh thuc hien TPCP 2013 va KH 2014" xfId="1985"/>
    <cellStyle name="T_Ma so thue TNCN cua CBCNV" xfId="1986"/>
    <cellStyle name="T_Me_Tri_6_07" xfId="1987"/>
    <cellStyle name="T_Me_Tri_6_07_Ha Nam" xfId="1988"/>
    <cellStyle name="T_N2 thay dat (N1-1)" xfId="1989"/>
    <cellStyle name="T_N2 thay dat (N1-1)_Ha Nam" xfId="1990"/>
    <cellStyle name="T_Phuong an can doi nam 2008" xfId="1991"/>
    <cellStyle name="T_Phuong an can doi nam 2008_Ha Nam" xfId="1992"/>
    <cellStyle name="T_Phuong an can doi nam 2008_Ha Nam_Tinh hinh thuc hien TPCP 2013 va KH 2014" xfId="1993"/>
    <cellStyle name="T_Phuong an can doi nam 2008_Tinh hinh thuc hien TPCP 2013 va KH 2014" xfId="1994"/>
    <cellStyle name="T_Seagame(BTL)" xfId="1995"/>
    <cellStyle name="T_So GTVT" xfId="1996"/>
    <cellStyle name="T_So GTVT_Ha Nam" xfId="1997"/>
    <cellStyle name="T_So GTVT_Ha Nam_Tinh hinh thuc hien TPCP 2013 va KH 2014" xfId="1998"/>
    <cellStyle name="T_So GTVT_Tinh hinh thuc hien TPCP 2013 va KH 2014" xfId="1999"/>
    <cellStyle name="T_TDT + duong(8-5-07)" xfId="2000"/>
    <cellStyle name="T_TDT + duong(8-5-07)_Ha Nam" xfId="2001"/>
    <cellStyle name="T_tien luong 575-577TB" xfId="2006"/>
    <cellStyle name="T_TK_HT" xfId="2007"/>
    <cellStyle name="T_TK_HT_tien luong 575-577TB" xfId="2008"/>
    <cellStyle name="T_tờ trinh-lan" xfId="2009"/>
    <cellStyle name="T_tham_tra_du_toan" xfId="2002"/>
    <cellStyle name="T_tham_tra_du_toan_Ha Nam" xfId="2003"/>
    <cellStyle name="T_Thiet bi" xfId="2004"/>
    <cellStyle name="T_Thiet bi_Ha Nam" xfId="2005"/>
    <cellStyle name="T_ÿÿÿÿÿ" xfId="2010"/>
    <cellStyle name="T_ÿÿÿÿÿ_Bieu mau cong trinh khoi cong moi 3-4" xfId="2011"/>
    <cellStyle name="T_ÿÿÿÿÿ_Bieu3ODA" xfId="2012"/>
    <cellStyle name="T_ÿÿÿÿÿ_Ha Nam" xfId="2013"/>
    <cellStyle name="tde" xfId="2014"/>
    <cellStyle name="Text Indent A" xfId="2015"/>
    <cellStyle name="Text Indent B" xfId="2016"/>
    <cellStyle name="Text Indent C" xfId="2017"/>
    <cellStyle name="Tiªu ®Ì" xfId="2030"/>
    <cellStyle name="Tien1" xfId="2031"/>
    <cellStyle name="Tieu_de_2" xfId="2033"/>
    <cellStyle name="Tiêu đề" xfId="2032"/>
    <cellStyle name="Times New Roman" xfId="2034"/>
    <cellStyle name="TiÓu môc" xfId="2035"/>
    <cellStyle name="tit1" xfId="2036"/>
    <cellStyle name="tit2" xfId="2037"/>
    <cellStyle name="tit3" xfId="2038"/>
    <cellStyle name="tit4" xfId="2039"/>
    <cellStyle name="Title 2" xfId="2040"/>
    <cellStyle name="Title 2 2" xfId="2041"/>
    <cellStyle name="Title 3" xfId="2042"/>
    <cellStyle name="Tong so" xfId="2043"/>
    <cellStyle name="tong so 1" xfId="2044"/>
    <cellStyle name="Tongcong" xfId="2045"/>
    <cellStyle name="Total 2" xfId="2046"/>
    <cellStyle name="Total 2 2" xfId="2047"/>
    <cellStyle name="Total 3" xfId="2048"/>
    <cellStyle name="tt1" xfId="2053"/>
    <cellStyle name="Tusental (0)_pldt" xfId="2054"/>
    <cellStyle name="Tusental_pldt" xfId="2055"/>
    <cellStyle name="th" xfId="2018"/>
    <cellStyle name="th 2" xfId="2019"/>
    <cellStyle name="than" xfId="2020"/>
    <cellStyle name="Thanh" xfId="2021"/>
    <cellStyle name="þ_x001d_ð¤_x000c_¯þ_x0014__x000d_¨þU_x0001_À_x0004_ _x0015__x000f__x0001__x0001_" xfId="2022"/>
    <cellStyle name="þ_x001d_ð·_x000c_æþ'_x000d_ßþU_x0001_Ø_x0005_ü_x0014__x0007__x0001__x0001_" xfId="2023"/>
    <cellStyle name="þ_x001d_ðÇ%Uý—&amp;Hý9_x0008_Ÿ s_x000a__x0007__x0001__x0001_" xfId="2024"/>
    <cellStyle name="þ_x001d_ðÇ%Uý—&amp;Hý9_x0008_Ÿ_x0009_s_x000a__x0007__x0001__x0001_" xfId="2025"/>
    <cellStyle name="þ_x001d_ðK_x000c_Fý_x001b__x000d_9ýU_x0001_Ð_x0008_¦)_x0007__x0001__x0001_" xfId="2026"/>
    <cellStyle name="thuong-10" xfId="2027"/>
    <cellStyle name="thuong-11" xfId="2028"/>
    <cellStyle name="Thuyet minh" xfId="2029"/>
    <cellStyle name="trang" xfId="2049"/>
    <cellStyle name="Trang 1" xfId="2050"/>
    <cellStyle name="trang_SU CO THANG 1" xfId="2051"/>
    <cellStyle name="Trung tính" xfId="2052"/>
    <cellStyle name="ux_3_¼­¿ï-¾È»ê" xfId="2056"/>
    <cellStyle name="Valuta (0)_pldt" xfId="2057"/>
    <cellStyle name="Valuta_pldt" xfId="2058"/>
    <cellStyle name="VANG1" xfId="2060"/>
    <cellStyle name="Văn bản Cảnh báo" xfId="2059"/>
    <cellStyle name="viet" xfId="2061"/>
    <cellStyle name="viet 2" xfId="2062"/>
    <cellStyle name="viet2" xfId="2063"/>
    <cellStyle name="viet2 2" xfId="2064"/>
    <cellStyle name="VN new romanNormal" xfId="2065"/>
    <cellStyle name="Vn Time 13" xfId="2066"/>
    <cellStyle name="Vn Time 14" xfId="2067"/>
    <cellStyle name="VN time new roman" xfId="2068"/>
    <cellStyle name="vnbo" xfId="2069"/>
    <cellStyle name="VNITIMES" xfId="2074"/>
    <cellStyle name="vntxt1" xfId="2075"/>
    <cellStyle name="vntxt2" xfId="2076"/>
    <cellStyle name="vnhead1" xfId="2070"/>
    <cellStyle name="vnhead2" xfId="2071"/>
    <cellStyle name="vnhead3" xfId="2072"/>
    <cellStyle name="vnhead4" xfId="2073"/>
    <cellStyle name="W?hrung [0]_35ERI8T2gbIEMixb4v26icuOo" xfId="2077"/>
    <cellStyle name="W?hrung_35ERI8T2gbIEMixb4v26icuOo" xfId="2078"/>
    <cellStyle name="Währung [0]_ALLE_ITEMS_280800_EV_NL" xfId="2079"/>
    <cellStyle name="Währung_AKE_100N" xfId="2080"/>
    <cellStyle name="Walutowy [0]_Invoices2001Slovakia" xfId="2081"/>
    <cellStyle name="Walutowy_Invoices2001Slovakia" xfId="2082"/>
    <cellStyle name="Warning Text 2" xfId="2083"/>
    <cellStyle name="Warning Text 2 2" xfId="2084"/>
    <cellStyle name="Warning Text 3" xfId="2085"/>
    <cellStyle name="wrap" xfId="2086"/>
    <cellStyle name="Wไhrung [0]_35ERI8T2gbIEMixb4v26icuOo" xfId="2087"/>
    <cellStyle name="Wไhrung_35ERI8T2gbIEMixb4v26icuOo" xfId="2088"/>
    <cellStyle name="xuan" xfId="2089"/>
    <cellStyle name="y" xfId="2090"/>
    <cellStyle name="Ý kh¸c_B¶ng 1 (2)" xfId="2091"/>
    <cellStyle name="センター" xfId="2092"/>
    <cellStyle name="เครื่องหมายสกุลเงิน [0]_FTC_OFFER" xfId="2093"/>
    <cellStyle name="เครื่องหมายสกุลเงิน_FTC_OFFER" xfId="2094"/>
    <cellStyle name="ปกติ_FTC_OFFER" xfId="2095"/>
    <cellStyle name=" [0.00]_ Att. 1- Cover" xfId="2096"/>
    <cellStyle name="_ Att. 1- Cover" xfId="2097"/>
    <cellStyle name="?_ Att. 1- Cover" xfId="2098"/>
    <cellStyle name="똿뗦먛귟 [0.00]_PRODUCT DETAIL Q1" xfId="2099"/>
    <cellStyle name="똿뗦먛귟_PRODUCT DETAIL Q1" xfId="2100"/>
    <cellStyle name="믅됞 [0.00]_PRODUCT DETAIL Q1" xfId="2101"/>
    <cellStyle name="믅됞_PRODUCT DETAIL Q1" xfId="2102"/>
    <cellStyle name="백분율_††††† " xfId="2103"/>
    <cellStyle name="뷭?_BOOKSHIP" xfId="2104"/>
    <cellStyle name="안건회계법인" xfId="2105"/>
    <cellStyle name="콤마 [ - 유형1" xfId="2106"/>
    <cellStyle name="콤마 [ - 유형2" xfId="2107"/>
    <cellStyle name="콤마 [ - 유형3" xfId="2108"/>
    <cellStyle name="콤마 [ - 유형4" xfId="2109"/>
    <cellStyle name="콤마 [ - 유형5" xfId="2110"/>
    <cellStyle name="콤마 [ - 유형6" xfId="2111"/>
    <cellStyle name="콤마 [ - 유형7" xfId="2112"/>
    <cellStyle name="콤마 [ - 유형8" xfId="2113"/>
    <cellStyle name="콤마 [0]_ 비목별 월별기술 " xfId="2114"/>
    <cellStyle name="콤마_ 비목별 월별기술 " xfId="2115"/>
    <cellStyle name="통화 [0]_††††† " xfId="2116"/>
    <cellStyle name="통화_††††† " xfId="2117"/>
    <cellStyle name="표준_ 97년 경영분석(안)" xfId="2118"/>
    <cellStyle name="표줠_Sheet1_1_총괄표 (수출입) (2)" xfId="2119"/>
    <cellStyle name="一般_00Q3902REV.1" xfId="2120"/>
    <cellStyle name="不要処理" xfId="2121"/>
    <cellStyle name="千分位[0]_00Q3902REV.1" xfId="2122"/>
    <cellStyle name="千分位_00Q3902REV.1" xfId="2123"/>
    <cellStyle name="帳票" xfId="2124"/>
    <cellStyle name="常规_For Hanoi Configuration" xfId="2125"/>
    <cellStyle name="桁?切? [0.00]_pldt" xfId="2126"/>
    <cellStyle name="桁?切?_pldt" xfId="2127"/>
    <cellStyle name="桁区切り [0.00]_††††† " xfId="2128"/>
    <cellStyle name="桁区切り_††††† " xfId="2129"/>
    <cellStyle name="標?_外?Ａ最終" xfId="2130"/>
    <cellStyle name="標準_(A1)BOQ " xfId="2131"/>
    <cellStyle name="標準8" xfId="2132"/>
    <cellStyle name="貨幣 [0]_00Q3902REV.1" xfId="2133"/>
    <cellStyle name="貨幣[0]_06生管" xfId="2134"/>
    <cellStyle name="貨幣_00Q3902REV.1" xfId="2135"/>
    <cellStyle name="通貨 [0.00]_††††† " xfId="2136"/>
    <cellStyle name="通貨_††††† " xfId="213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s>
</file>

<file path=xl/drawings/drawing1.xml><?xml version="1.0" encoding="utf-8"?>
<xdr:wsDr xmlns:xdr="http://schemas.openxmlformats.org/drawingml/2006/spreadsheetDrawing" xmlns:a="http://schemas.openxmlformats.org/drawingml/2006/main">
  <xdr:twoCellAnchor editAs="oneCell">
    <xdr:from>
      <xdr:col>1</xdr:col>
      <xdr:colOff>1181100</xdr:colOff>
      <xdr:row>36</xdr:row>
      <xdr:rowOff>0</xdr:rowOff>
    </xdr:from>
    <xdr:to>
      <xdr:col>1</xdr:col>
      <xdr:colOff>1181100</xdr:colOff>
      <xdr:row>37</xdr:row>
      <xdr:rowOff>438150</xdr:rowOff>
    </xdr:to>
    <xdr:sp macro="" textlink="">
      <xdr:nvSpPr>
        <xdr:cNvPr id="44573" name="Text Box 1">
          <a:extLst>
            <a:ext uri="{FF2B5EF4-FFF2-40B4-BE49-F238E27FC236}">
              <a16:creationId xmlns:a16="http://schemas.microsoft.com/office/drawing/2014/main" id="{00000000-0008-0000-0100-00001DAE0000}"/>
            </a:ext>
          </a:extLst>
        </xdr:cNvPr>
        <xdr:cNvSpPr txBox="1">
          <a:spLocks noChangeArrowheads="1"/>
        </xdr:cNvSpPr>
      </xdr:nvSpPr>
      <xdr:spPr bwMode="auto">
        <a:xfrm>
          <a:off x="1562100" y="8629650"/>
          <a:ext cx="0" cy="742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1181100</xdr:colOff>
      <xdr:row>36</xdr:row>
      <xdr:rowOff>0</xdr:rowOff>
    </xdr:from>
    <xdr:to>
      <xdr:col>1</xdr:col>
      <xdr:colOff>1181100</xdr:colOff>
      <xdr:row>37</xdr:row>
      <xdr:rowOff>438150</xdr:rowOff>
    </xdr:to>
    <xdr:sp macro="" textlink="">
      <xdr:nvSpPr>
        <xdr:cNvPr id="44574" name="Text Box 2">
          <a:extLst>
            <a:ext uri="{FF2B5EF4-FFF2-40B4-BE49-F238E27FC236}">
              <a16:creationId xmlns:a16="http://schemas.microsoft.com/office/drawing/2014/main" id="{00000000-0008-0000-0100-00001EAE0000}"/>
            </a:ext>
          </a:extLst>
        </xdr:cNvPr>
        <xdr:cNvSpPr txBox="1">
          <a:spLocks noChangeArrowheads="1"/>
        </xdr:cNvSpPr>
      </xdr:nvSpPr>
      <xdr:spPr bwMode="auto">
        <a:xfrm>
          <a:off x="1562100" y="8629650"/>
          <a:ext cx="0" cy="742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1181100</xdr:colOff>
      <xdr:row>36</xdr:row>
      <xdr:rowOff>0</xdr:rowOff>
    </xdr:from>
    <xdr:to>
      <xdr:col>1</xdr:col>
      <xdr:colOff>1181100</xdr:colOff>
      <xdr:row>37</xdr:row>
      <xdr:rowOff>352425</xdr:rowOff>
    </xdr:to>
    <xdr:sp macro="" textlink="">
      <xdr:nvSpPr>
        <xdr:cNvPr id="44575" name="Text Box 2">
          <a:extLst>
            <a:ext uri="{FF2B5EF4-FFF2-40B4-BE49-F238E27FC236}">
              <a16:creationId xmlns:a16="http://schemas.microsoft.com/office/drawing/2014/main" id="{00000000-0008-0000-0100-00001FAE0000}"/>
            </a:ext>
          </a:extLst>
        </xdr:cNvPr>
        <xdr:cNvSpPr txBox="1">
          <a:spLocks noChangeArrowheads="1"/>
        </xdr:cNvSpPr>
      </xdr:nvSpPr>
      <xdr:spPr bwMode="auto">
        <a:xfrm>
          <a:off x="1562100" y="8629650"/>
          <a:ext cx="0" cy="657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1181100</xdr:colOff>
      <xdr:row>36</xdr:row>
      <xdr:rowOff>0</xdr:rowOff>
    </xdr:from>
    <xdr:to>
      <xdr:col>1</xdr:col>
      <xdr:colOff>1181100</xdr:colOff>
      <xdr:row>37</xdr:row>
      <xdr:rowOff>352425</xdr:rowOff>
    </xdr:to>
    <xdr:sp macro="" textlink="">
      <xdr:nvSpPr>
        <xdr:cNvPr id="44576" name="Text Box 1">
          <a:extLst>
            <a:ext uri="{FF2B5EF4-FFF2-40B4-BE49-F238E27FC236}">
              <a16:creationId xmlns:a16="http://schemas.microsoft.com/office/drawing/2014/main" id="{00000000-0008-0000-0100-000020AE0000}"/>
            </a:ext>
          </a:extLst>
        </xdr:cNvPr>
        <xdr:cNvSpPr txBox="1">
          <a:spLocks noChangeArrowheads="1"/>
        </xdr:cNvSpPr>
      </xdr:nvSpPr>
      <xdr:spPr bwMode="auto">
        <a:xfrm>
          <a:off x="1562100" y="8629650"/>
          <a:ext cx="0" cy="657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1181100</xdr:colOff>
      <xdr:row>36</xdr:row>
      <xdr:rowOff>0</xdr:rowOff>
    </xdr:from>
    <xdr:to>
      <xdr:col>1</xdr:col>
      <xdr:colOff>1181100</xdr:colOff>
      <xdr:row>37</xdr:row>
      <xdr:rowOff>352425</xdr:rowOff>
    </xdr:to>
    <xdr:sp macro="" textlink="">
      <xdr:nvSpPr>
        <xdr:cNvPr id="44577" name="Text Box 2">
          <a:extLst>
            <a:ext uri="{FF2B5EF4-FFF2-40B4-BE49-F238E27FC236}">
              <a16:creationId xmlns:a16="http://schemas.microsoft.com/office/drawing/2014/main" id="{00000000-0008-0000-0100-000021AE0000}"/>
            </a:ext>
          </a:extLst>
        </xdr:cNvPr>
        <xdr:cNvSpPr txBox="1">
          <a:spLocks noChangeArrowheads="1"/>
        </xdr:cNvSpPr>
      </xdr:nvSpPr>
      <xdr:spPr bwMode="auto">
        <a:xfrm>
          <a:off x="1562100" y="8629650"/>
          <a:ext cx="0" cy="657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1181100</xdr:colOff>
      <xdr:row>36</xdr:row>
      <xdr:rowOff>0</xdr:rowOff>
    </xdr:from>
    <xdr:to>
      <xdr:col>1</xdr:col>
      <xdr:colOff>1181100</xdr:colOff>
      <xdr:row>37</xdr:row>
      <xdr:rowOff>457200</xdr:rowOff>
    </xdr:to>
    <xdr:sp macro="" textlink="">
      <xdr:nvSpPr>
        <xdr:cNvPr id="44578" name="Text Box 2">
          <a:extLst>
            <a:ext uri="{FF2B5EF4-FFF2-40B4-BE49-F238E27FC236}">
              <a16:creationId xmlns:a16="http://schemas.microsoft.com/office/drawing/2014/main" id="{00000000-0008-0000-0100-000022AE0000}"/>
            </a:ext>
          </a:extLst>
        </xdr:cNvPr>
        <xdr:cNvSpPr txBox="1">
          <a:spLocks noChangeArrowheads="1"/>
        </xdr:cNvSpPr>
      </xdr:nvSpPr>
      <xdr:spPr bwMode="auto">
        <a:xfrm>
          <a:off x="1562100" y="8629650"/>
          <a:ext cx="0" cy="762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1181100</xdr:colOff>
      <xdr:row>36</xdr:row>
      <xdr:rowOff>0</xdr:rowOff>
    </xdr:from>
    <xdr:to>
      <xdr:col>1</xdr:col>
      <xdr:colOff>1181100</xdr:colOff>
      <xdr:row>37</xdr:row>
      <xdr:rowOff>457200</xdr:rowOff>
    </xdr:to>
    <xdr:sp macro="" textlink="">
      <xdr:nvSpPr>
        <xdr:cNvPr id="44579" name="Text Box 1">
          <a:extLst>
            <a:ext uri="{FF2B5EF4-FFF2-40B4-BE49-F238E27FC236}">
              <a16:creationId xmlns:a16="http://schemas.microsoft.com/office/drawing/2014/main" id="{00000000-0008-0000-0100-000023AE0000}"/>
            </a:ext>
          </a:extLst>
        </xdr:cNvPr>
        <xdr:cNvSpPr txBox="1">
          <a:spLocks noChangeArrowheads="1"/>
        </xdr:cNvSpPr>
      </xdr:nvSpPr>
      <xdr:spPr bwMode="auto">
        <a:xfrm>
          <a:off x="1562100" y="8629650"/>
          <a:ext cx="0" cy="762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1181100</xdr:colOff>
      <xdr:row>36</xdr:row>
      <xdr:rowOff>0</xdr:rowOff>
    </xdr:from>
    <xdr:to>
      <xdr:col>1</xdr:col>
      <xdr:colOff>1181100</xdr:colOff>
      <xdr:row>37</xdr:row>
      <xdr:rowOff>457200</xdr:rowOff>
    </xdr:to>
    <xdr:sp macro="" textlink="">
      <xdr:nvSpPr>
        <xdr:cNvPr id="44580" name="Text Box 2">
          <a:extLst>
            <a:ext uri="{FF2B5EF4-FFF2-40B4-BE49-F238E27FC236}">
              <a16:creationId xmlns:a16="http://schemas.microsoft.com/office/drawing/2014/main" id="{00000000-0008-0000-0100-000024AE0000}"/>
            </a:ext>
          </a:extLst>
        </xdr:cNvPr>
        <xdr:cNvSpPr txBox="1">
          <a:spLocks noChangeArrowheads="1"/>
        </xdr:cNvSpPr>
      </xdr:nvSpPr>
      <xdr:spPr bwMode="auto">
        <a:xfrm>
          <a:off x="1562100" y="8629650"/>
          <a:ext cx="0" cy="762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1181100</xdr:colOff>
      <xdr:row>36</xdr:row>
      <xdr:rowOff>0</xdr:rowOff>
    </xdr:from>
    <xdr:to>
      <xdr:col>1</xdr:col>
      <xdr:colOff>1181100</xdr:colOff>
      <xdr:row>37</xdr:row>
      <xdr:rowOff>285750</xdr:rowOff>
    </xdr:to>
    <xdr:sp macro="" textlink="">
      <xdr:nvSpPr>
        <xdr:cNvPr id="44581" name="Text Box 2">
          <a:extLst>
            <a:ext uri="{FF2B5EF4-FFF2-40B4-BE49-F238E27FC236}">
              <a16:creationId xmlns:a16="http://schemas.microsoft.com/office/drawing/2014/main" id="{00000000-0008-0000-0100-000025AE0000}"/>
            </a:ext>
          </a:extLst>
        </xdr:cNvPr>
        <xdr:cNvSpPr txBox="1">
          <a:spLocks noChangeArrowheads="1"/>
        </xdr:cNvSpPr>
      </xdr:nvSpPr>
      <xdr:spPr bwMode="auto">
        <a:xfrm>
          <a:off x="1562100" y="8629650"/>
          <a:ext cx="0" cy="590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1181100</xdr:colOff>
      <xdr:row>36</xdr:row>
      <xdr:rowOff>0</xdr:rowOff>
    </xdr:from>
    <xdr:to>
      <xdr:col>1</xdr:col>
      <xdr:colOff>1181100</xdr:colOff>
      <xdr:row>37</xdr:row>
      <xdr:rowOff>295275</xdr:rowOff>
    </xdr:to>
    <xdr:sp macro="" textlink="">
      <xdr:nvSpPr>
        <xdr:cNvPr id="44582" name="Text Box 1">
          <a:extLst>
            <a:ext uri="{FF2B5EF4-FFF2-40B4-BE49-F238E27FC236}">
              <a16:creationId xmlns:a16="http://schemas.microsoft.com/office/drawing/2014/main" id="{00000000-0008-0000-0100-000026AE0000}"/>
            </a:ext>
          </a:extLst>
        </xdr:cNvPr>
        <xdr:cNvSpPr txBox="1">
          <a:spLocks noChangeArrowheads="1"/>
        </xdr:cNvSpPr>
      </xdr:nvSpPr>
      <xdr:spPr bwMode="auto">
        <a:xfrm>
          <a:off x="1562100" y="8629650"/>
          <a:ext cx="0" cy="600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1181100</xdr:colOff>
      <xdr:row>36</xdr:row>
      <xdr:rowOff>0</xdr:rowOff>
    </xdr:from>
    <xdr:to>
      <xdr:col>1</xdr:col>
      <xdr:colOff>1181100</xdr:colOff>
      <xdr:row>37</xdr:row>
      <xdr:rowOff>295275</xdr:rowOff>
    </xdr:to>
    <xdr:sp macro="" textlink="">
      <xdr:nvSpPr>
        <xdr:cNvPr id="44583" name="Text Box 2">
          <a:extLst>
            <a:ext uri="{FF2B5EF4-FFF2-40B4-BE49-F238E27FC236}">
              <a16:creationId xmlns:a16="http://schemas.microsoft.com/office/drawing/2014/main" id="{00000000-0008-0000-0100-000027AE0000}"/>
            </a:ext>
          </a:extLst>
        </xdr:cNvPr>
        <xdr:cNvSpPr txBox="1">
          <a:spLocks noChangeArrowheads="1"/>
        </xdr:cNvSpPr>
      </xdr:nvSpPr>
      <xdr:spPr bwMode="auto">
        <a:xfrm>
          <a:off x="1562100" y="8629650"/>
          <a:ext cx="0" cy="600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1181100</xdr:colOff>
      <xdr:row>43</xdr:row>
      <xdr:rowOff>0</xdr:rowOff>
    </xdr:from>
    <xdr:to>
      <xdr:col>1</xdr:col>
      <xdr:colOff>1181100</xdr:colOff>
      <xdr:row>45</xdr:row>
      <xdr:rowOff>9525</xdr:rowOff>
    </xdr:to>
    <xdr:sp macro="" textlink="">
      <xdr:nvSpPr>
        <xdr:cNvPr id="44584" name="Text Box 2">
          <a:extLst>
            <a:ext uri="{FF2B5EF4-FFF2-40B4-BE49-F238E27FC236}">
              <a16:creationId xmlns:a16="http://schemas.microsoft.com/office/drawing/2014/main" id="{00000000-0008-0000-0100-000028AE0000}"/>
            </a:ext>
          </a:extLst>
        </xdr:cNvPr>
        <xdr:cNvSpPr txBox="1">
          <a:spLocks noChangeArrowheads="1"/>
        </xdr:cNvSpPr>
      </xdr:nvSpPr>
      <xdr:spPr bwMode="auto">
        <a:xfrm>
          <a:off x="1562100" y="10868025"/>
          <a:ext cx="0" cy="638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1181100</xdr:colOff>
      <xdr:row>43</xdr:row>
      <xdr:rowOff>0</xdr:rowOff>
    </xdr:from>
    <xdr:to>
      <xdr:col>1</xdr:col>
      <xdr:colOff>1181100</xdr:colOff>
      <xdr:row>45</xdr:row>
      <xdr:rowOff>9525</xdr:rowOff>
    </xdr:to>
    <xdr:sp macro="" textlink="">
      <xdr:nvSpPr>
        <xdr:cNvPr id="44585" name="Text Box 1">
          <a:extLst>
            <a:ext uri="{FF2B5EF4-FFF2-40B4-BE49-F238E27FC236}">
              <a16:creationId xmlns:a16="http://schemas.microsoft.com/office/drawing/2014/main" id="{00000000-0008-0000-0100-000029AE0000}"/>
            </a:ext>
          </a:extLst>
        </xdr:cNvPr>
        <xdr:cNvSpPr txBox="1">
          <a:spLocks noChangeArrowheads="1"/>
        </xdr:cNvSpPr>
      </xdr:nvSpPr>
      <xdr:spPr bwMode="auto">
        <a:xfrm>
          <a:off x="1562100" y="10868025"/>
          <a:ext cx="0" cy="638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1181100</xdr:colOff>
      <xdr:row>43</xdr:row>
      <xdr:rowOff>0</xdr:rowOff>
    </xdr:from>
    <xdr:to>
      <xdr:col>1</xdr:col>
      <xdr:colOff>1181100</xdr:colOff>
      <xdr:row>45</xdr:row>
      <xdr:rowOff>9525</xdr:rowOff>
    </xdr:to>
    <xdr:sp macro="" textlink="">
      <xdr:nvSpPr>
        <xdr:cNvPr id="44586" name="Text Box 2">
          <a:extLst>
            <a:ext uri="{FF2B5EF4-FFF2-40B4-BE49-F238E27FC236}">
              <a16:creationId xmlns:a16="http://schemas.microsoft.com/office/drawing/2014/main" id="{00000000-0008-0000-0100-00002AAE0000}"/>
            </a:ext>
          </a:extLst>
        </xdr:cNvPr>
        <xdr:cNvSpPr txBox="1">
          <a:spLocks noChangeArrowheads="1"/>
        </xdr:cNvSpPr>
      </xdr:nvSpPr>
      <xdr:spPr bwMode="auto">
        <a:xfrm>
          <a:off x="1562100" y="10868025"/>
          <a:ext cx="0" cy="638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1181100</xdr:colOff>
      <xdr:row>43</xdr:row>
      <xdr:rowOff>0</xdr:rowOff>
    </xdr:from>
    <xdr:to>
      <xdr:col>1</xdr:col>
      <xdr:colOff>1181100</xdr:colOff>
      <xdr:row>44</xdr:row>
      <xdr:rowOff>200025</xdr:rowOff>
    </xdr:to>
    <xdr:sp macro="" textlink="">
      <xdr:nvSpPr>
        <xdr:cNvPr id="44587" name="Text Box 2">
          <a:extLst>
            <a:ext uri="{FF2B5EF4-FFF2-40B4-BE49-F238E27FC236}">
              <a16:creationId xmlns:a16="http://schemas.microsoft.com/office/drawing/2014/main" id="{00000000-0008-0000-0100-00002BAE0000}"/>
            </a:ext>
          </a:extLst>
        </xdr:cNvPr>
        <xdr:cNvSpPr txBox="1">
          <a:spLocks noChangeArrowheads="1"/>
        </xdr:cNvSpPr>
      </xdr:nvSpPr>
      <xdr:spPr bwMode="auto">
        <a:xfrm>
          <a:off x="1562100" y="10868025"/>
          <a:ext cx="0" cy="600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1181100</xdr:colOff>
      <xdr:row>43</xdr:row>
      <xdr:rowOff>0</xdr:rowOff>
    </xdr:from>
    <xdr:to>
      <xdr:col>1</xdr:col>
      <xdr:colOff>1181100</xdr:colOff>
      <xdr:row>44</xdr:row>
      <xdr:rowOff>209550</xdr:rowOff>
    </xdr:to>
    <xdr:sp macro="" textlink="">
      <xdr:nvSpPr>
        <xdr:cNvPr id="44588" name="Text Box 1">
          <a:extLst>
            <a:ext uri="{FF2B5EF4-FFF2-40B4-BE49-F238E27FC236}">
              <a16:creationId xmlns:a16="http://schemas.microsoft.com/office/drawing/2014/main" id="{00000000-0008-0000-0100-00002CAE0000}"/>
            </a:ext>
          </a:extLst>
        </xdr:cNvPr>
        <xdr:cNvSpPr txBox="1">
          <a:spLocks noChangeArrowheads="1"/>
        </xdr:cNvSpPr>
      </xdr:nvSpPr>
      <xdr:spPr bwMode="auto">
        <a:xfrm>
          <a:off x="1562100" y="10868025"/>
          <a:ext cx="0" cy="609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1181100</xdr:colOff>
      <xdr:row>43</xdr:row>
      <xdr:rowOff>0</xdr:rowOff>
    </xdr:from>
    <xdr:to>
      <xdr:col>1</xdr:col>
      <xdr:colOff>1181100</xdr:colOff>
      <xdr:row>44</xdr:row>
      <xdr:rowOff>209550</xdr:rowOff>
    </xdr:to>
    <xdr:sp macro="" textlink="">
      <xdr:nvSpPr>
        <xdr:cNvPr id="44589" name="Text Box 2">
          <a:extLst>
            <a:ext uri="{FF2B5EF4-FFF2-40B4-BE49-F238E27FC236}">
              <a16:creationId xmlns:a16="http://schemas.microsoft.com/office/drawing/2014/main" id="{00000000-0008-0000-0100-00002DAE0000}"/>
            </a:ext>
          </a:extLst>
        </xdr:cNvPr>
        <xdr:cNvSpPr txBox="1">
          <a:spLocks noChangeArrowheads="1"/>
        </xdr:cNvSpPr>
      </xdr:nvSpPr>
      <xdr:spPr bwMode="auto">
        <a:xfrm>
          <a:off x="1562100" y="10868025"/>
          <a:ext cx="0" cy="609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luu%20DROXBOX/Dropbox/file%20o%20nha/VI%20AN/00-Xay%20dung%20trung%20han%20NSDP%2021-25/02-Dieu%20chinh%20trung%20han%20T9.2024/3.%20Hoan%20thien%20PA%20sau%20hop%20UB/3.2.%20PL%20kem%20TTr%20UBND%20tinh%20dieu%20chinh%20trung%20han%20NSDP%202021-20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P/Dropbox/file%20o%20nha/VI%20AN/Nam%202024/6.%20Chuan%20bi%20tai%20lieu%20cho%20lanh%20dao/Thuc%20hien%20KH%20trung%20han%2021-25/1.%20he%20thong%20trung%20han%20NS&#272;P%20v&#224;%20NSTW%2021-25%20cap%20nhat%20tong%20nguon%20den%20T3.202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HP/Documents/Zalo%20Received%20Files/BI&#7874;U%20M&#7850;U%20NHU%20C&#7846;U%20TRUNG%20H&#7840;N%202026%20-%20203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HP/Dropbox/file%20o%20nha/VI%20AN/00-Xay%20dung%20trung%20han%20NSDP%2021-25/02-Dieu%20chinh%20trung%20han%20T9.2024/3.%20Hoan%20thien%20PA%20sau%20hop%20UB/3.2.%20PL%20kem%20TTr%20UBND%20tinh%20dieu%20chinh%20trung%20han%20NSDP%202021-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angatang"/>
      <sheetName val="dieu chinh trung hạn"/>
      <sheetName val="PB1-DU KIEN NGUON"/>
      <sheetName val="PB1-DU KIEN NGUON 1-8"/>
      <sheetName val="PB1-DU KIEN NGUON 6-8 (nhap)"/>
      <sheetName val="PB1-DU KIEN NGUON 6-8"/>
      <sheetName val="PL8-DM dung thuc hien"/>
      <sheetName val="PB1-DU KIEN NGUON 16-8"/>
      <sheetName val="PB2-DU KIEN TIEN DAT 2025"/>
      <sheetName val="PB3-20% CHUYEN TIEP 2026-2030"/>
      <sheetName val="PL TongHOp 21-25 (IN)"/>
      <sheetName val="PL TongHOp 21-25"/>
      <sheetName val="PL8-KCM du kien 24-25 (IN) (2)"/>
      <sheetName val="PB-Sự cần thiết đầu tư của KCM"/>
      <sheetName val="Đieu chinh khv 2021"/>
      <sheetName val="Đieu chinh khv 2022"/>
      <sheetName val="PL5 DOi Ung von DA NSTW (IN)2"/>
      <sheetName val="PL1 Phan cap (IN)"/>
      <sheetName val="PL2 Hoàn tra ung truoc (IN)"/>
      <sheetName val="PL2 Hoan ung (cũ)"/>
      <sheetName val="PL3 Doi ung ODA"/>
      <sheetName val="PL4 Quy hoạch (IN)"/>
      <sheetName val="PL5 DOi Ung von DA NSTW (IN)"/>
      <sheetName val="PL6 chuyen tiep 16-20 (IN)"/>
      <sheetName val="PL7- Khoi cong moi 21-25(IN)"/>
      <sheetName val="PL8 XSKT in (IN)"/>
      <sheetName val="PL9 sắp xếp nha dat (IN)"/>
      <sheetName val="PL6 chuyen tiep 16-20 (IN) (2)"/>
      <sheetName val="KCM XDCB 24-25"/>
      <sheetName val="PL8 Thu SDĐ (soat)"/>
      <sheetName val="PL3 Doi ung ODA (thach)"/>
      <sheetName val="120 ty"/>
      <sheetName val="PL10 Thu SDĐ (IN)"/>
      <sheetName val="PL11-DM de xuat dung thuc hien"/>
      <sheetName val="PL12-DM bo sung moi"/>
      <sheetName val="ODA-cũ"/>
      <sheetName val="DANH MUC DE NGHI BO SUNG MOI"/>
      <sheetName val="PL TongHOp 21-25 (2)"/>
      <sheetName val="PL6 KCM XDCB in (soát)"/>
      <sheetName val="TH NSTW 21-25"/>
      <sheetName val="PL5 chuyen tiep (soát)"/>
      <sheetName val="PL7 XSKT in (soat)"/>
      <sheetName val="PL9 sắp xếp nha dat"/>
      <sheetName val="DA điều chỉnh thông tin"/>
      <sheetName val="Đổi nguồn"/>
      <sheetName val="Dự án DX mới"/>
      <sheetName val="CĐT đề xuất mới"/>
      <sheetName val="PL2-TH NSTW 21-25 (2)"/>
      <sheetName val="PL13-Bu Hut thu 2020"/>
      <sheetName val="PL14 Quyet toan"/>
      <sheetName val="PL15-CBDT"/>
      <sheetName val="PL9.1 Bu Hut thu 2020"/>
      <sheetName val="PL15-KCM BS 23-24-25"/>
      <sheetName val="20% CHUYEN TIEP T9-2023"/>
      <sheetName val="PB3-Su can tiet dau tu KCM"/>
      <sheetName val="PB2-DU KIEN ĐẤT 24-25"/>
      <sheetName val="KHV 2020 kéo dài qđ1127"/>
      <sheetName val="KHV 2021 kéo dài qd369"/>
      <sheetName val="Sheet1"/>
    </sheetNames>
    <sheetDataSet>
      <sheetData sheetId="0"/>
      <sheetData sheetId="1"/>
      <sheetData sheetId="2">
        <row r="15">
          <cell r="M15">
            <v>832248</v>
          </cell>
        </row>
      </sheetData>
      <sheetData sheetId="3"/>
      <sheetData sheetId="4"/>
      <sheetData sheetId="5"/>
      <sheetData sheetId="6"/>
      <sheetData sheetId="7">
        <row r="11">
          <cell r="T11">
            <v>21144592.720049992</v>
          </cell>
        </row>
      </sheetData>
      <sheetData sheetId="8"/>
      <sheetData sheetId="9"/>
      <sheetData sheetId="10">
        <row r="4">
          <cell r="A4" t="str">
            <v>(Kèm theo Tờ trình số              /TTr-UBND ngày        /9/2024 của Ủy ban nhân dân tỉnh Quảng Ngãi)</v>
          </cell>
          <cell r="B4">
            <v>0</v>
          </cell>
          <cell r="C4">
            <v>0</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v>
          </cell>
          <cell r="V4">
            <v>0</v>
          </cell>
          <cell r="W4">
            <v>0</v>
          </cell>
          <cell r="X4">
            <v>0</v>
          </cell>
          <cell r="Y4">
            <v>0</v>
          </cell>
          <cell r="Z4">
            <v>0</v>
          </cell>
          <cell r="AA4">
            <v>0</v>
          </cell>
          <cell r="AB4">
            <v>0</v>
          </cell>
        </row>
        <row r="11">
          <cell r="P11">
            <v>4045823.5220989999</v>
          </cell>
          <cell r="Q11">
            <v>4400782.422359</v>
          </cell>
          <cell r="R11">
            <v>4941014.9330000002</v>
          </cell>
        </row>
        <row r="46">
          <cell r="AH46">
            <v>326471.53199998662</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row r="14">
          <cell r="EA14">
            <v>587896</v>
          </cell>
        </row>
      </sheetData>
      <sheetData sheetId="24">
        <row r="16">
          <cell r="CI16">
            <v>1329109.9999999977</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angatang"/>
      <sheetName val="dieu chinh trung hạn"/>
      <sheetName val="PL TongHOp 21-25 (IN)"/>
      <sheetName val="PL TongHOp 21-25 (IN) (3)"/>
      <sheetName val="PL TongHOp 21-25 (IN) (2)"/>
      <sheetName val="PL I-NSTW trong nuoc"/>
      <sheetName val="PL II-ODA"/>
      <sheetName val="PL III-CTMTQG"/>
      <sheetName val="PL IV-Phuc hoi KTXH"/>
      <sheetName val="PL TongHOp 21-25"/>
      <sheetName val="PL8-KCM du kien 24-25 (IN) (2)"/>
      <sheetName val="PB-Sự cần thiết đầu tư của KCM"/>
      <sheetName val="Đieu chinh khv 2021"/>
      <sheetName val="Đieu chinh khv 2022"/>
      <sheetName val="PL1 Phan cap (IN)"/>
      <sheetName val="PL2 Hoàn tra ung truoc (IN)"/>
      <sheetName val="PL3 Doi ung ODA (IN)"/>
      <sheetName val="PL5 DOi Ung von DA NSTW (IN)2"/>
      <sheetName val="PL4 Quy hoạch (IN)"/>
      <sheetName val="PL5 DOi Ung von DA NSTW (IN)"/>
      <sheetName val="PL6 chuyen tiep 16-20 (IN)"/>
      <sheetName val="PL7- Khoi cong moi 21-25(IN)"/>
      <sheetName val="PL6 chuyen tiep 16-20 (IN) (2)"/>
      <sheetName val="KCM XDCB 24-25"/>
      <sheetName val="PL8 Thu SDĐ (soat)"/>
      <sheetName val="PL2 Hoàn tra ung truoc"/>
      <sheetName val="PL3 Doi ung ODA (thach)"/>
      <sheetName val="120 ty"/>
      <sheetName val="PL8 Thu SDĐ (IN)"/>
      <sheetName val="PL9 XSKT in (IN)"/>
      <sheetName val="PL TongHOp 21-25 (2)"/>
      <sheetName val="PL6 KCM XDCB in (soát)"/>
      <sheetName val="TH NSTW 21-25"/>
      <sheetName val="PL5 chuyen tiep (soát)"/>
      <sheetName val="PL7 XSKT in (soat)"/>
      <sheetName val="PL9 sắp xếp nha dat"/>
      <sheetName val="DA điều chỉnh thông tin"/>
      <sheetName val="Đổi nguồn"/>
      <sheetName val="Dự án DX mới"/>
      <sheetName val="CĐT đề xuất mới"/>
      <sheetName val="PL2-TH NSTW 21-25 (2)"/>
      <sheetName val="PL10 sắp xếp nha dat (IN)"/>
      <sheetName val="PL11-Bu Hut thu 2020"/>
      <sheetName val="PL12 Quyet toan"/>
      <sheetName val="PL9.1 Bu Hut thu 2020"/>
      <sheetName val="PL13-CBDT"/>
      <sheetName val="PL14-DM dung thuc hien"/>
      <sheetName val="PL15-KCM BS 23-24-25"/>
      <sheetName val="PB1-DU KIEN NGUON"/>
      <sheetName val="PB3-Su can tiet dau tu KCM"/>
      <sheetName val="PB2-DU KIEN ĐẤT 24-25"/>
      <sheetName val="KHV 2020 kéo dài qđ1127"/>
      <sheetName val="KHV 2021 kéo dài qd369"/>
      <sheetName val="Sheet1"/>
    </sheetNames>
    <sheetDataSet>
      <sheetData sheetId="0"/>
      <sheetData sheetId="1"/>
      <sheetData sheetId="2"/>
      <sheetData sheetId="3"/>
      <sheetData sheetId="4"/>
      <sheetData sheetId="5">
        <row r="13">
          <cell r="W13">
            <v>4822237</v>
          </cell>
          <cell r="AG13">
            <v>840820</v>
          </cell>
          <cell r="AH13">
            <v>1459425</v>
          </cell>
          <cell r="AI13">
            <v>1262500</v>
          </cell>
        </row>
      </sheetData>
      <sheetData sheetId="6">
        <row r="11">
          <cell r="N11">
            <v>469767.25</v>
          </cell>
          <cell r="O11">
            <v>96966</v>
          </cell>
          <cell r="S11">
            <v>214039</v>
          </cell>
          <cell r="T11">
            <v>0</v>
          </cell>
          <cell r="AD11">
            <v>60336</v>
          </cell>
          <cell r="AE11">
            <v>0</v>
          </cell>
          <cell r="AO11">
            <v>30762</v>
          </cell>
          <cell r="AP11">
            <v>0</v>
          </cell>
        </row>
      </sheetData>
      <sheetData sheetId="7">
        <row r="12">
          <cell r="D12">
            <v>1105696</v>
          </cell>
          <cell r="G12">
            <v>218108</v>
          </cell>
          <cell r="N12">
            <v>282724.00000000006</v>
          </cell>
        </row>
        <row r="13">
          <cell r="D13">
            <v>512206</v>
          </cell>
          <cell r="G13">
            <v>171173</v>
          </cell>
          <cell r="N13">
            <v>113679</v>
          </cell>
        </row>
        <row r="16">
          <cell r="D16">
            <v>482530</v>
          </cell>
          <cell r="G16">
            <v>181040</v>
          </cell>
          <cell r="N16">
            <v>100970</v>
          </cell>
        </row>
      </sheetData>
      <sheetData sheetId="8">
        <row r="13">
          <cell r="O13">
            <v>631000</v>
          </cell>
        </row>
      </sheetData>
      <sheetData sheetId="9"/>
      <sheetData sheetId="10"/>
      <sheetData sheetId="11"/>
      <sheetData sheetId="12">
        <row r="14">
          <cell r="AL14">
            <v>140000</v>
          </cell>
        </row>
      </sheetData>
      <sheetData sheetId="13">
        <row r="16">
          <cell r="R16">
            <v>161643</v>
          </cell>
        </row>
      </sheetData>
      <sheetData sheetId="14">
        <row r="12">
          <cell r="D12">
            <v>1760000</v>
          </cell>
          <cell r="G12">
            <v>296999.84962639509</v>
          </cell>
          <cell r="H12">
            <v>320000</v>
          </cell>
          <cell r="I12">
            <v>310752</v>
          </cell>
        </row>
      </sheetData>
      <sheetData sheetId="15">
        <row r="14">
          <cell r="H14">
            <v>207462.24</v>
          </cell>
          <cell r="N14">
            <v>159450</v>
          </cell>
          <cell r="Q14">
            <v>13252.240000000002</v>
          </cell>
          <cell r="T14">
            <v>7320</v>
          </cell>
        </row>
      </sheetData>
      <sheetData sheetId="16">
        <row r="15">
          <cell r="P15">
            <v>300000</v>
          </cell>
          <cell r="R15">
            <v>25657.853999999999</v>
          </cell>
          <cell r="S15">
            <v>41234</v>
          </cell>
          <cell r="T15">
            <v>11292</v>
          </cell>
        </row>
      </sheetData>
      <sheetData sheetId="17"/>
      <sheetData sheetId="18">
        <row r="13">
          <cell r="I13">
            <v>45000</v>
          </cell>
          <cell r="K13">
            <v>15000</v>
          </cell>
          <cell r="L13">
            <v>15000</v>
          </cell>
          <cell r="M13">
            <v>4000</v>
          </cell>
        </row>
      </sheetData>
      <sheetData sheetId="19">
        <row r="15">
          <cell r="CB15">
            <v>1119700</v>
          </cell>
          <cell r="CM15">
            <v>0</v>
          </cell>
          <cell r="CR15">
            <v>31000</v>
          </cell>
        </row>
        <row r="50">
          <cell r="CB50">
            <v>171000</v>
          </cell>
          <cell r="CM50">
            <v>6000</v>
          </cell>
          <cell r="CR50">
            <v>0</v>
          </cell>
          <cell r="CW50">
            <v>20000</v>
          </cell>
        </row>
        <row r="64">
          <cell r="CA64">
            <v>38000</v>
          </cell>
          <cell r="CM64">
            <v>0</v>
          </cell>
          <cell r="CR64">
            <v>0</v>
          </cell>
          <cell r="CW64">
            <v>11500</v>
          </cell>
        </row>
      </sheetData>
      <sheetData sheetId="20">
        <row r="14">
          <cell r="CA14">
            <v>887904.31504999998</v>
          </cell>
          <cell r="CH14">
            <v>367742.14600000001</v>
          </cell>
          <cell r="CL14">
            <v>302121.88199999998</v>
          </cell>
        </row>
      </sheetData>
      <sheetData sheetId="21">
        <row r="16">
          <cell r="Q16">
            <v>2875350</v>
          </cell>
          <cell r="Y16">
            <v>444877.8</v>
          </cell>
          <cell r="AD16">
            <v>689383</v>
          </cell>
        </row>
        <row r="30">
          <cell r="Q30">
            <v>0</v>
          </cell>
          <cell r="Y30">
            <v>0</v>
          </cell>
          <cell r="AD30">
            <v>0</v>
          </cell>
          <cell r="AH30">
            <v>0</v>
          </cell>
        </row>
        <row r="42">
          <cell r="Q42">
            <v>0</v>
          </cell>
          <cell r="Y42">
            <v>0</v>
          </cell>
          <cell r="AD42">
            <v>0</v>
          </cell>
          <cell r="AH42">
            <v>0</v>
          </cell>
        </row>
        <row r="43">
          <cell r="Q43">
            <v>0</v>
          </cell>
          <cell r="Y43">
            <v>0</v>
          </cell>
          <cell r="AD43">
            <v>0</v>
          </cell>
          <cell r="AH43">
            <v>0</v>
          </cell>
        </row>
        <row r="58">
          <cell r="Q58">
            <v>3000</v>
          </cell>
          <cell r="Y58">
            <v>0</v>
          </cell>
          <cell r="AD58">
            <v>0</v>
          </cell>
          <cell r="AH58">
            <v>0</v>
          </cell>
        </row>
        <row r="59">
          <cell r="Q59">
            <v>15000</v>
          </cell>
          <cell r="Y59">
            <v>0</v>
          </cell>
          <cell r="AD59">
            <v>0</v>
          </cell>
          <cell r="AH59">
            <v>0</v>
          </cell>
        </row>
        <row r="70">
          <cell r="Q70">
            <v>0</v>
          </cell>
          <cell r="Y70">
            <v>0</v>
          </cell>
          <cell r="AD70">
            <v>0</v>
          </cell>
          <cell r="AH70">
            <v>0</v>
          </cell>
        </row>
        <row r="75">
          <cell r="Q75">
            <v>3000</v>
          </cell>
          <cell r="Y75">
            <v>0</v>
          </cell>
          <cell r="AD75">
            <v>0</v>
          </cell>
          <cell r="AH75">
            <v>0</v>
          </cell>
        </row>
        <row r="97">
          <cell r="Q97">
            <v>120000</v>
          </cell>
          <cell r="Y97">
            <v>0</v>
          </cell>
          <cell r="AD97">
            <v>0</v>
          </cell>
          <cell r="AH97">
            <v>0</v>
          </cell>
        </row>
        <row r="112">
          <cell r="Q112">
            <v>10000</v>
          </cell>
          <cell r="Y112">
            <v>0</v>
          </cell>
          <cell r="AD112">
            <v>0</v>
          </cell>
          <cell r="AH112">
            <v>0</v>
          </cell>
        </row>
        <row r="113">
          <cell r="Q113">
            <v>1624</v>
          </cell>
          <cell r="Y113">
            <v>0</v>
          </cell>
          <cell r="AD113">
            <v>0</v>
          </cell>
          <cell r="AH113">
            <v>0</v>
          </cell>
        </row>
        <row r="122">
          <cell r="Q122">
            <v>5000</v>
          </cell>
          <cell r="Y122">
            <v>0</v>
          </cell>
          <cell r="AD122">
            <v>0</v>
          </cell>
          <cell r="AH122">
            <v>0</v>
          </cell>
        </row>
        <row r="123">
          <cell r="Q123">
            <v>5000</v>
          </cell>
          <cell r="Y123">
            <v>0</v>
          </cell>
          <cell r="AD123">
            <v>0</v>
          </cell>
          <cell r="AH123">
            <v>0</v>
          </cell>
        </row>
        <row r="128">
          <cell r="Q128">
            <v>6000</v>
          </cell>
          <cell r="Y128">
            <v>0</v>
          </cell>
          <cell r="AD128">
            <v>0</v>
          </cell>
          <cell r="AH128">
            <v>0</v>
          </cell>
        </row>
        <row r="129">
          <cell r="Q129">
            <v>8000</v>
          </cell>
          <cell r="Y129">
            <v>0</v>
          </cell>
          <cell r="AD129">
            <v>0</v>
          </cell>
          <cell r="AH129">
            <v>0</v>
          </cell>
        </row>
        <row r="130">
          <cell r="Q130">
            <v>5000</v>
          </cell>
          <cell r="Y130">
            <v>0</v>
          </cell>
          <cell r="AD130">
            <v>0</v>
          </cell>
          <cell r="AH130">
            <v>0</v>
          </cell>
        </row>
        <row r="131">
          <cell r="Q131">
            <v>5000</v>
          </cell>
          <cell r="Y131">
            <v>0</v>
          </cell>
          <cell r="AD131">
            <v>0</v>
          </cell>
          <cell r="AH131">
            <v>0</v>
          </cell>
        </row>
        <row r="134">
          <cell r="Q134">
            <v>0</v>
          </cell>
          <cell r="Y134">
            <v>0</v>
          </cell>
          <cell r="AD134">
            <v>0</v>
          </cell>
          <cell r="AH134">
            <v>0</v>
          </cell>
        </row>
        <row r="135">
          <cell r="Q135">
            <v>0</v>
          </cell>
          <cell r="Y135">
            <v>0</v>
          </cell>
          <cell r="AD135">
            <v>0</v>
          </cell>
          <cell r="AH135">
            <v>0</v>
          </cell>
        </row>
        <row r="136">
          <cell r="Q136">
            <v>4500</v>
          </cell>
          <cell r="Y136">
            <v>0</v>
          </cell>
          <cell r="AD136">
            <v>0</v>
          </cell>
          <cell r="AH136">
            <v>0</v>
          </cell>
        </row>
        <row r="137">
          <cell r="Q137">
            <v>0</v>
          </cell>
          <cell r="Y137">
            <v>0</v>
          </cell>
          <cell r="AD137">
            <v>0</v>
          </cell>
          <cell r="AH137">
            <v>0</v>
          </cell>
        </row>
        <row r="138">
          <cell r="Q138">
            <v>5000</v>
          </cell>
          <cell r="Y138">
            <v>0</v>
          </cell>
          <cell r="AD138">
            <v>0</v>
          </cell>
          <cell r="AH138">
            <v>0</v>
          </cell>
        </row>
        <row r="153">
          <cell r="Q153">
            <v>15000</v>
          </cell>
          <cell r="Y153">
            <v>0</v>
          </cell>
          <cell r="AD153">
            <v>0</v>
          </cell>
          <cell r="AH153">
            <v>0</v>
          </cell>
        </row>
        <row r="167">
          <cell r="Q167">
            <v>0</v>
          </cell>
          <cell r="Y167">
            <v>0</v>
          </cell>
          <cell r="AD167">
            <v>0</v>
          </cell>
          <cell r="AH167">
            <v>0</v>
          </cell>
        </row>
        <row r="168">
          <cell r="Q168">
            <v>0</v>
          </cell>
          <cell r="Y168">
            <v>0</v>
          </cell>
          <cell r="AD168">
            <v>0</v>
          </cell>
          <cell r="AH168">
            <v>0</v>
          </cell>
        </row>
        <row r="169">
          <cell r="Q169">
            <v>50000</v>
          </cell>
          <cell r="Y169">
            <v>0</v>
          </cell>
          <cell r="AD169">
            <v>0</v>
          </cell>
          <cell r="AH169">
            <v>0</v>
          </cell>
        </row>
        <row r="185">
          <cell r="Q185">
            <v>15000</v>
          </cell>
          <cell r="Y185">
            <v>0</v>
          </cell>
          <cell r="AD185">
            <v>0</v>
          </cell>
          <cell r="AH185">
            <v>0</v>
          </cell>
        </row>
        <row r="214">
          <cell r="Q214">
            <v>0</v>
          </cell>
          <cell r="Y214">
            <v>0</v>
          </cell>
          <cell r="AD214">
            <v>0</v>
          </cell>
          <cell r="AH214">
            <v>0</v>
          </cell>
        </row>
        <row r="224">
          <cell r="Q224">
            <v>0</v>
          </cell>
          <cell r="Y224">
            <v>0</v>
          </cell>
          <cell r="AD224">
            <v>0</v>
          </cell>
          <cell r="AH224">
            <v>0</v>
          </cell>
        </row>
        <row r="234">
          <cell r="Q234">
            <v>0</v>
          </cell>
          <cell r="Y234">
            <v>0</v>
          </cell>
          <cell r="AD234">
            <v>0</v>
          </cell>
          <cell r="AH234">
            <v>0</v>
          </cell>
        </row>
        <row r="252">
          <cell r="Q252">
            <v>0</v>
          </cell>
          <cell r="Y252">
            <v>0</v>
          </cell>
          <cell r="AD252">
            <v>0</v>
          </cell>
          <cell r="AH252">
            <v>0</v>
          </cell>
        </row>
      </sheetData>
      <sheetData sheetId="22"/>
      <sheetData sheetId="23"/>
      <sheetData sheetId="24"/>
      <sheetData sheetId="25"/>
      <sheetData sheetId="26"/>
      <sheetData sheetId="27"/>
      <sheetData sheetId="28">
        <row r="12">
          <cell r="BG12">
            <v>3500000</v>
          </cell>
          <cell r="BK12">
            <v>591537</v>
          </cell>
          <cell r="BM12">
            <v>699044</v>
          </cell>
          <cell r="BO12">
            <v>855000</v>
          </cell>
        </row>
        <row r="27">
          <cell r="BG27">
            <v>0</v>
          </cell>
          <cell r="BK27">
            <v>0</v>
          </cell>
          <cell r="BM27">
            <v>0</v>
          </cell>
          <cell r="BO27">
            <v>0</v>
          </cell>
        </row>
        <row r="28">
          <cell r="BG28">
            <v>751964.13299999991</v>
          </cell>
        </row>
        <row r="29">
          <cell r="BG29">
            <v>9589</v>
          </cell>
          <cell r="BK29">
            <v>0</v>
          </cell>
          <cell r="BM29">
            <v>2546</v>
          </cell>
          <cell r="BO29">
            <v>7043</v>
          </cell>
        </row>
        <row r="34">
          <cell r="BG34">
            <v>1056257</v>
          </cell>
          <cell r="BK34">
            <v>196040</v>
          </cell>
          <cell r="BM34">
            <v>259638.86699999997</v>
          </cell>
          <cell r="BO34">
            <v>217517</v>
          </cell>
        </row>
        <row r="35">
          <cell r="BG35">
            <v>854800</v>
          </cell>
          <cell r="BK35">
            <v>50934</v>
          </cell>
          <cell r="BM35">
            <v>162900</v>
          </cell>
          <cell r="BO35">
            <v>100500</v>
          </cell>
        </row>
        <row r="37">
          <cell r="BG37">
            <v>2974500.0000000005</v>
          </cell>
          <cell r="BK37">
            <v>26260</v>
          </cell>
          <cell r="BM37">
            <v>307000</v>
          </cell>
          <cell r="BO37">
            <v>684050</v>
          </cell>
        </row>
        <row r="38">
          <cell r="BG38">
            <v>2000000</v>
          </cell>
          <cell r="BK38">
            <v>0</v>
          </cell>
          <cell r="BM38">
            <v>0</v>
          </cell>
          <cell r="BO38">
            <v>538890</v>
          </cell>
        </row>
        <row r="39">
          <cell r="BG39">
            <v>1225960.3669999982</v>
          </cell>
        </row>
      </sheetData>
      <sheetData sheetId="29">
        <row r="13">
          <cell r="CA13">
            <v>225504.94</v>
          </cell>
          <cell r="CE13">
            <v>38100</v>
          </cell>
          <cell r="CF13">
            <v>40000</v>
          </cell>
          <cell r="CG13">
            <v>40000</v>
          </cell>
        </row>
        <row r="23">
          <cell r="CA23">
            <v>45195.510999999999</v>
          </cell>
          <cell r="CE23">
            <v>40000</v>
          </cell>
          <cell r="CF23">
            <v>5195.5110000000004</v>
          </cell>
          <cell r="CG23">
            <v>0</v>
          </cell>
        </row>
        <row r="29">
          <cell r="CE29">
            <v>0</v>
          </cell>
          <cell r="CF29">
            <v>49804.489000000001</v>
          </cell>
          <cell r="CG29">
            <v>60000</v>
          </cell>
        </row>
        <row r="30">
          <cell r="CA30">
            <v>203600</v>
          </cell>
        </row>
        <row r="50">
          <cell r="CA50">
            <v>28800</v>
          </cell>
          <cell r="CE50">
            <v>0</v>
          </cell>
          <cell r="CF50">
            <v>0</v>
          </cell>
          <cell r="CG50">
            <v>0</v>
          </cell>
        </row>
      </sheetData>
      <sheetData sheetId="30"/>
      <sheetData sheetId="31"/>
      <sheetData sheetId="32"/>
      <sheetData sheetId="33"/>
      <sheetData sheetId="34"/>
      <sheetData sheetId="35"/>
      <sheetData sheetId="36"/>
      <sheetData sheetId="37"/>
      <sheetData sheetId="38"/>
      <sheetData sheetId="39"/>
      <sheetData sheetId="40"/>
      <sheetData sheetId="41">
        <row r="14">
          <cell r="S14">
            <v>218300</v>
          </cell>
          <cell r="V14">
            <v>0</v>
          </cell>
          <cell r="W14">
            <v>84331</v>
          </cell>
          <cell r="X14">
            <v>130000</v>
          </cell>
        </row>
        <row r="42">
          <cell r="S42">
            <v>345</v>
          </cell>
          <cell r="V42">
            <v>0</v>
          </cell>
          <cell r="W42">
            <v>300</v>
          </cell>
          <cell r="X42">
            <v>0</v>
          </cell>
        </row>
      </sheetData>
      <sheetData sheetId="42"/>
      <sheetData sheetId="43">
        <row r="12">
          <cell r="M12">
            <v>200000</v>
          </cell>
          <cell r="N12">
            <v>24552.443300000017</v>
          </cell>
          <cell r="O12">
            <v>21215.400099000013</v>
          </cell>
          <cell r="P12">
            <v>58772.335359000004</v>
          </cell>
        </row>
      </sheetData>
      <sheetData sheetId="44"/>
      <sheetData sheetId="45">
        <row r="12">
          <cell r="BT12">
            <v>16000</v>
          </cell>
          <cell r="BW12">
            <v>5050</v>
          </cell>
          <cell r="BY12">
            <v>5150</v>
          </cell>
        </row>
      </sheetData>
      <sheetData sheetId="46"/>
      <sheetData sheetId="47"/>
      <sheetData sheetId="48">
        <row r="14">
          <cell r="S14">
            <v>8799911.9503843952</v>
          </cell>
        </row>
        <row r="15">
          <cell r="S15">
            <v>1759999.8496263952</v>
          </cell>
        </row>
        <row r="16">
          <cell r="S16">
            <v>7039912.1007579993</v>
          </cell>
        </row>
        <row r="17">
          <cell r="S17">
            <v>503100</v>
          </cell>
        </row>
        <row r="25">
          <cell r="S25">
            <v>12373070.367000001</v>
          </cell>
        </row>
        <row r="26">
          <cell r="S26">
            <v>3500000</v>
          </cell>
        </row>
        <row r="27">
          <cell r="S27">
            <v>8873070.3670000006</v>
          </cell>
        </row>
        <row r="28">
          <cell r="S28">
            <v>933768</v>
          </cell>
        </row>
      </sheetData>
      <sheetData sheetId="49"/>
      <sheetData sheetId="50"/>
      <sheetData sheetId="51"/>
      <sheetData sheetId="52"/>
      <sheetData sheetId="5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s>
    <sheetDataSet>
      <sheetData sheetId="0" refreshError="1">
        <row r="16">
          <cell r="J16">
            <v>6384000</v>
          </cell>
        </row>
        <row r="17">
          <cell r="J17">
            <v>1660000</v>
          </cell>
        </row>
      </sheetData>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angatang"/>
      <sheetName val="dieu chinh trung hạn"/>
      <sheetName val="PB1-DU KIEN NGUON"/>
      <sheetName val="PB1-DU KIEN NGUON 1-8"/>
      <sheetName val="PB1-DU KIEN NGUON 6-8 (nhap)"/>
      <sheetName val="PB1-DU KIEN NGUON 6-8"/>
      <sheetName val="PL8-DM dung thuc hien"/>
      <sheetName val="PB1-DU KIEN NGUON 16-8"/>
      <sheetName val="PB2-DU KIEN TIEN DAT 2025"/>
      <sheetName val="PB3-20% CHUYEN TIEP 2026-2030"/>
      <sheetName val="PL TongHOp 21-25 (IN)"/>
      <sheetName val="PL TongHOp 21-25"/>
      <sheetName val="PL8-KCM du kien 24-25 (IN) (2)"/>
      <sheetName val="PB-Sự cần thiết đầu tư của KCM"/>
      <sheetName val="Đieu chinh khv 2021"/>
      <sheetName val="Đieu chinh khv 2022"/>
      <sheetName val="PL5 DOi Ung von DA NSTW (IN)2"/>
      <sheetName val="PL1 Phan cap (IN)"/>
      <sheetName val="PL2 Hoàn tra ung truoc (IN)"/>
      <sheetName val="PL2 Hoan ung (cũ)"/>
      <sheetName val="PL3 Doi ung ODA"/>
      <sheetName val="PL4 Quy hoạch (IN)"/>
      <sheetName val="PL5 DOi Ung von DA NSTW (IN)"/>
      <sheetName val="PL6 chuyen tiep 16-20 (IN)"/>
      <sheetName val="PL7- Khoi cong moi 21-25(IN)"/>
      <sheetName val="PL8 XSKT in (IN)"/>
      <sheetName val="PL9 sắp xếp nha dat (IN)"/>
      <sheetName val="PL6 chuyen tiep 16-20 (IN) (2)"/>
      <sheetName val="KCM XDCB 24-25"/>
      <sheetName val="PL8 Thu SDĐ (soat)"/>
      <sheetName val="PL3 Doi ung ODA (thach)"/>
      <sheetName val="120 ty"/>
      <sheetName val="PL10 Thu SDĐ (IN)"/>
      <sheetName val="PL11-DM de xuat dung thuc hien"/>
      <sheetName val="PL12-DM bo sung moi"/>
      <sheetName val="ODA-cũ"/>
      <sheetName val="DANH MUC DE NGHI BO SUNG MOI"/>
      <sheetName val="PL TongHOp 21-25 (2)"/>
      <sheetName val="PL6 KCM XDCB in (soát)"/>
      <sheetName val="TH NSTW 21-25"/>
      <sheetName val="PL5 chuyen tiep (soát)"/>
      <sheetName val="PL7 XSKT in (soat)"/>
      <sheetName val="PL9 sắp xếp nha dat"/>
      <sheetName val="DA điều chỉnh thông tin"/>
      <sheetName val="Đổi nguồn"/>
      <sheetName val="Dự án DX mới"/>
      <sheetName val="CĐT đề xuất mới"/>
      <sheetName val="PL2-TH NSTW 21-25 (2)"/>
      <sheetName val="PL13-Bu Hut thu 2020"/>
      <sheetName val="PL14 Quyet toan"/>
      <sheetName val="PL15-CBDT"/>
      <sheetName val="PL9.1 Bu Hut thu 2020"/>
      <sheetName val="PL15-KCM BS 23-24-25"/>
      <sheetName val="20% CHUYEN TIEP T9-2023"/>
      <sheetName val="PB3-Su can tiet dau tu KCM"/>
      <sheetName val="PB2-DU KIEN ĐẤT 24-25"/>
      <sheetName val="KHV 2020 kéo dài qđ1127"/>
      <sheetName val="KHV 2021 kéo dài qd369"/>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64">
          <cell r="CK64">
            <v>17950</v>
          </cell>
        </row>
        <row r="66">
          <cell r="CK66">
            <v>72900</v>
          </cell>
        </row>
        <row r="71">
          <cell r="CK71">
            <v>84313</v>
          </cell>
        </row>
        <row r="78">
          <cell r="CK78">
            <v>4400</v>
          </cell>
        </row>
        <row r="80">
          <cell r="CK80">
            <v>15000</v>
          </cell>
        </row>
        <row r="82">
          <cell r="CK82">
            <v>15323</v>
          </cell>
        </row>
        <row r="86">
          <cell r="CK86">
            <v>19000</v>
          </cell>
        </row>
        <row r="88">
          <cell r="CK88">
            <v>92000</v>
          </cell>
        </row>
        <row r="91">
          <cell r="CK91">
            <v>2500</v>
          </cell>
        </row>
        <row r="93">
          <cell r="CK93">
            <v>28000</v>
          </cell>
        </row>
        <row r="96">
          <cell r="CK96">
            <v>24805</v>
          </cell>
        </row>
        <row r="100">
          <cell r="CK100">
            <v>27608.752</v>
          </cell>
        </row>
      </sheetData>
      <sheetData sheetId="24">
        <row r="147">
          <cell r="T147">
            <v>211000</v>
          </cell>
        </row>
        <row r="151">
          <cell r="T151">
            <v>154000</v>
          </cell>
        </row>
        <row r="158">
          <cell r="AJ158">
            <v>171800</v>
          </cell>
        </row>
        <row r="167">
          <cell r="AJ167">
            <v>155000</v>
          </cell>
        </row>
        <row r="174">
          <cell r="AJ174">
            <v>299480</v>
          </cell>
        </row>
        <row r="179">
          <cell r="AJ179">
            <v>182000</v>
          </cell>
        </row>
        <row r="190">
          <cell r="AJ190">
            <v>295500</v>
          </cell>
        </row>
        <row r="200">
          <cell r="AJ200">
            <v>275000</v>
          </cell>
        </row>
        <row r="209">
          <cell r="AJ209">
            <v>250000</v>
          </cell>
        </row>
        <row r="219">
          <cell r="AJ219">
            <v>291000</v>
          </cell>
        </row>
        <row r="229">
          <cell r="AJ229">
            <v>196000</v>
          </cell>
        </row>
        <row r="239">
          <cell r="AJ239">
            <v>217000</v>
          </cell>
        </row>
        <row r="248">
          <cell r="AJ248">
            <v>267000</v>
          </cell>
        </row>
        <row r="257">
          <cell r="AJ257">
            <v>12500</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sheetPr>
  <dimension ref="A1:FB95"/>
  <sheetViews>
    <sheetView topLeftCell="A7" zoomScale="90" zoomScaleNormal="90" workbookViewId="0">
      <pane xSplit="2" ySplit="5" topLeftCell="E12" activePane="bottomRight" state="frozen"/>
      <selection activeCell="A7" sqref="A7"/>
      <selection pane="topRight" activeCell="C7" sqref="C7"/>
      <selection pane="bottomLeft" activeCell="A12" sqref="A12"/>
      <selection pane="bottomRight" activeCell="V47" sqref="V47"/>
    </sheetView>
  </sheetViews>
  <sheetFormatPr defaultColWidth="9.140625" defaultRowHeight="15" outlineLevelRow="3" outlineLevelCol="1"/>
  <cols>
    <col min="1" max="1" width="5.7109375" style="190" bestFit="1" customWidth="1"/>
    <col min="2" max="2" width="55.85546875" style="9" customWidth="1"/>
    <col min="3" max="3" width="13.28515625" style="9" hidden="1" customWidth="1"/>
    <col min="4" max="4" width="14.85546875" style="9" hidden="1" customWidth="1"/>
    <col min="5" max="5" width="16.7109375" style="9" customWidth="1"/>
    <col min="6" max="6" width="12.42578125" style="9" customWidth="1"/>
    <col min="7" max="7" width="13.42578125" style="184" customWidth="1"/>
    <col min="8" max="8" width="12.7109375" style="184" bestFit="1" customWidth="1"/>
    <col min="9" max="10" width="12.28515625" style="184" customWidth="1"/>
    <col min="11" max="11" width="13.28515625" style="9" customWidth="1"/>
    <col min="12" max="13" width="11.85546875" style="9" hidden="1" customWidth="1"/>
    <col min="14" max="14" width="8.140625" style="9" customWidth="1"/>
    <col min="15" max="15" width="35.140625" style="190" hidden="1" customWidth="1" outlineLevel="1"/>
    <col min="16" max="16" width="16.85546875" style="9" hidden="1" customWidth="1" outlineLevel="1" collapsed="1"/>
    <col min="17" max="17" width="18.140625" style="9" hidden="1" customWidth="1" outlineLevel="1"/>
    <col min="18" max="18" width="16.28515625" style="9" hidden="1" customWidth="1" collapsed="1"/>
    <col min="19" max="19" width="18.85546875" style="9" hidden="1" customWidth="1"/>
    <col min="20" max="20" width="12.42578125" style="9" hidden="1" customWidth="1"/>
    <col min="21" max="21" width="35.85546875" style="9" customWidth="1"/>
    <col min="22" max="22" width="13.7109375" style="9" bestFit="1" customWidth="1"/>
    <col min="23" max="23" width="13.7109375" style="9" customWidth="1"/>
    <col min="24" max="24" width="20.7109375" style="9" customWidth="1"/>
    <col min="25" max="108" width="9.140625" style="9" customWidth="1"/>
    <col min="109" max="109" width="15" style="9" customWidth="1"/>
    <col min="110" max="149" width="9.140625" style="9" customWidth="1"/>
    <col min="150" max="150" width="3.42578125" style="9" customWidth="1"/>
    <col min="151" max="151" width="13.42578125" style="9" customWidth="1"/>
    <col min="152" max="152" width="15.140625" style="9" customWidth="1"/>
    <col min="153" max="153" width="15.42578125" style="9" customWidth="1"/>
    <col min="154" max="154" width="17.42578125" style="9" customWidth="1"/>
    <col min="155" max="155" width="9.140625" style="9"/>
    <col min="156" max="156" width="16.85546875" style="9" customWidth="1"/>
    <col min="157" max="16384" width="9.140625" style="9"/>
  </cols>
  <sheetData>
    <row r="1" spans="1:154" s="2" customFormat="1" ht="19.5" customHeight="1">
      <c r="A1" s="854" t="s">
        <v>0</v>
      </c>
      <c r="B1" s="854"/>
      <c r="C1" s="854"/>
      <c r="D1" s="854"/>
      <c r="E1" s="854"/>
      <c r="F1" s="854"/>
      <c r="G1" s="854"/>
      <c r="H1" s="854"/>
      <c r="I1" s="854"/>
      <c r="J1" s="854"/>
      <c r="K1" s="854"/>
      <c r="L1" s="854"/>
      <c r="M1" s="854"/>
      <c r="N1" s="854"/>
      <c r="O1" s="1"/>
      <c r="P1" s="1"/>
      <c r="Q1" s="1"/>
      <c r="R1" s="1"/>
      <c r="S1" s="1"/>
      <c r="T1" s="1"/>
      <c r="U1" s="1"/>
    </row>
    <row r="2" spans="1:154" s="4" customFormat="1" ht="20.25">
      <c r="A2" s="855" t="s">
        <v>1</v>
      </c>
      <c r="B2" s="855"/>
      <c r="C2" s="855"/>
      <c r="D2" s="855"/>
      <c r="E2" s="855"/>
      <c r="F2" s="855"/>
      <c r="G2" s="855"/>
      <c r="H2" s="855"/>
      <c r="I2" s="855"/>
      <c r="J2" s="855"/>
      <c r="K2" s="855"/>
      <c r="L2" s="855"/>
      <c r="M2" s="855"/>
      <c r="N2" s="855"/>
      <c r="O2" s="3"/>
      <c r="P2" s="3"/>
      <c r="Q2" s="3"/>
      <c r="R2" s="3"/>
      <c r="S2" s="3"/>
      <c r="T2" s="3"/>
      <c r="U2" s="3"/>
    </row>
    <row r="3" spans="1:154" s="4" customFormat="1" ht="20.25">
      <c r="A3" s="856" t="s">
        <v>2</v>
      </c>
      <c r="B3" s="856"/>
      <c r="C3" s="856"/>
      <c r="D3" s="856"/>
      <c r="E3" s="856"/>
      <c r="F3" s="856"/>
      <c r="G3" s="856"/>
      <c r="H3" s="856"/>
      <c r="I3" s="856"/>
      <c r="J3" s="856"/>
      <c r="K3" s="856"/>
      <c r="L3" s="856"/>
      <c r="M3" s="856"/>
      <c r="N3" s="856"/>
      <c r="O3" s="3"/>
      <c r="P3" s="3"/>
      <c r="Q3" s="3"/>
      <c r="R3" s="3"/>
      <c r="S3" s="3"/>
      <c r="T3" s="3"/>
      <c r="U3" s="3"/>
    </row>
    <row r="4" spans="1:154" s="4" customFormat="1" ht="18.75" customHeight="1">
      <c r="A4" s="857" t="s">
        <v>3</v>
      </c>
      <c r="B4" s="857"/>
      <c r="C4" s="857"/>
      <c r="D4" s="857"/>
      <c r="E4" s="857"/>
      <c r="F4" s="857"/>
      <c r="G4" s="857"/>
      <c r="H4" s="857"/>
      <c r="I4" s="857"/>
      <c r="J4" s="857"/>
      <c r="K4" s="857"/>
      <c r="L4" s="857"/>
      <c r="M4" s="857"/>
      <c r="N4" s="857"/>
      <c r="O4" s="3"/>
      <c r="P4" s="3"/>
      <c r="Q4" s="3"/>
      <c r="R4" s="3"/>
      <c r="S4" s="3"/>
      <c r="T4" s="3"/>
      <c r="U4" s="3"/>
    </row>
    <row r="5" spans="1:154" s="2" customFormat="1" ht="9.75" customHeight="1">
      <c r="A5" s="5"/>
      <c r="B5" s="6"/>
      <c r="C5" s="6"/>
      <c r="D5" s="6"/>
      <c r="E5" s="6"/>
      <c r="F5" s="6"/>
      <c r="G5" s="6"/>
      <c r="H5" s="6"/>
      <c r="I5" s="6"/>
      <c r="J5" s="6"/>
      <c r="K5" s="6"/>
      <c r="L5" s="6"/>
      <c r="M5" s="6"/>
      <c r="N5" s="6"/>
      <c r="O5" s="1"/>
      <c r="P5" s="1"/>
      <c r="Q5" s="1"/>
      <c r="R5" s="1"/>
      <c r="S5" s="1"/>
      <c r="T5" s="1"/>
      <c r="U5" s="1"/>
    </row>
    <row r="6" spans="1:154" ht="18.75">
      <c r="A6" s="7"/>
      <c r="B6" s="8"/>
      <c r="C6" s="858"/>
      <c r="D6" s="858"/>
      <c r="E6" s="858"/>
      <c r="F6" s="858"/>
      <c r="G6" s="858"/>
      <c r="H6" s="858"/>
      <c r="I6" s="858"/>
      <c r="J6" s="858"/>
      <c r="K6" s="858"/>
      <c r="L6" s="858"/>
      <c r="M6" s="858"/>
      <c r="N6" s="858"/>
      <c r="O6" s="858"/>
      <c r="T6" s="10"/>
      <c r="EV6" s="11"/>
    </row>
    <row r="7" spans="1:154" ht="21" customHeight="1">
      <c r="A7" s="859" t="s">
        <v>4</v>
      </c>
      <c r="B7" s="862" t="s">
        <v>5</v>
      </c>
      <c r="C7" s="873" t="s">
        <v>6</v>
      </c>
      <c r="D7" s="874"/>
      <c r="E7" s="863" t="s">
        <v>6</v>
      </c>
      <c r="F7" s="869" t="s">
        <v>7</v>
      </c>
      <c r="G7" s="869"/>
      <c r="H7" s="869"/>
      <c r="I7" s="869"/>
      <c r="J7" s="869"/>
      <c r="K7" s="879" t="s">
        <v>8</v>
      </c>
      <c r="L7" s="880"/>
      <c r="M7" s="881"/>
      <c r="N7" s="863" t="s">
        <v>9</v>
      </c>
      <c r="O7" s="866" t="s">
        <v>10</v>
      </c>
      <c r="T7" s="10"/>
      <c r="EV7" s="13">
        <f>7320+236700</f>
        <v>244020</v>
      </c>
    </row>
    <row r="8" spans="1:154" ht="16.5" customHeight="1">
      <c r="A8" s="860"/>
      <c r="B8" s="862"/>
      <c r="C8" s="875"/>
      <c r="D8" s="876"/>
      <c r="E8" s="864"/>
      <c r="F8" s="869" t="s">
        <v>11</v>
      </c>
      <c r="G8" s="870" t="s">
        <v>12</v>
      </c>
      <c r="H8" s="870"/>
      <c r="I8" s="870"/>
      <c r="J8" s="870"/>
      <c r="K8" s="882"/>
      <c r="L8" s="883"/>
      <c r="M8" s="884"/>
      <c r="N8" s="864"/>
      <c r="O8" s="867"/>
      <c r="P8" s="14"/>
      <c r="Q8" s="14"/>
      <c r="R8" s="14"/>
      <c r="S8" s="14"/>
      <c r="T8" s="10"/>
      <c r="EU8" s="15">
        <v>4186762</v>
      </c>
      <c r="EV8" s="16" t="e">
        <f>#REF!-EU8</f>
        <v>#REF!</v>
      </c>
      <c r="EW8" s="16"/>
    </row>
    <row r="9" spans="1:154" ht="62.45" customHeight="1">
      <c r="A9" s="861"/>
      <c r="B9" s="862"/>
      <c r="C9" s="877"/>
      <c r="D9" s="878"/>
      <c r="E9" s="865"/>
      <c r="F9" s="869"/>
      <c r="G9" s="17" t="s">
        <v>13</v>
      </c>
      <c r="H9" s="17" t="s">
        <v>14</v>
      </c>
      <c r="I9" s="17" t="s">
        <v>15</v>
      </c>
      <c r="J9" s="17" t="s">
        <v>16</v>
      </c>
      <c r="K9" s="885"/>
      <c r="L9" s="886"/>
      <c r="M9" s="887"/>
      <c r="N9" s="865"/>
      <c r="O9" s="868"/>
      <c r="P9" s="19" t="s">
        <v>17</v>
      </c>
      <c r="Q9" s="20" t="s">
        <v>18</v>
      </c>
      <c r="R9" s="21"/>
      <c r="S9" s="21"/>
      <c r="U9" s="21"/>
      <c r="V9" s="14"/>
      <c r="W9" s="21"/>
      <c r="DE9" s="9">
        <f>5.3*12750.8</f>
        <v>67579.239999999991</v>
      </c>
      <c r="EU9" s="22">
        <v>4527782</v>
      </c>
      <c r="EV9" s="23" t="e">
        <f>EU9-#REF!</f>
        <v>#REF!</v>
      </c>
      <c r="EW9" s="24"/>
      <c r="EX9" s="25"/>
    </row>
    <row r="10" spans="1:154" s="29" customFormat="1" ht="15.75">
      <c r="A10" s="26">
        <v>1</v>
      </c>
      <c r="B10" s="12">
        <v>2</v>
      </c>
      <c r="C10" s="27">
        <v>3</v>
      </c>
      <c r="D10" s="27">
        <v>3</v>
      </c>
      <c r="E10" s="27"/>
      <c r="F10" s="27">
        <v>4</v>
      </c>
      <c r="G10" s="28">
        <v>5</v>
      </c>
      <c r="H10" s="28">
        <v>6</v>
      </c>
      <c r="I10" s="28">
        <v>7</v>
      </c>
      <c r="J10" s="28">
        <v>8</v>
      </c>
      <c r="K10" s="27">
        <v>9</v>
      </c>
      <c r="L10" s="27">
        <v>10</v>
      </c>
      <c r="M10" s="27">
        <v>11</v>
      </c>
      <c r="N10" s="27">
        <v>10</v>
      </c>
      <c r="O10" s="18">
        <v>10</v>
      </c>
      <c r="Q10" s="30"/>
      <c r="U10" s="30"/>
      <c r="V10" s="31"/>
      <c r="EU10" s="32"/>
      <c r="EV10" s="33"/>
      <c r="EW10" s="34"/>
      <c r="EX10" s="35"/>
    </row>
    <row r="11" spans="1:154" s="41" customFormat="1" ht="21" customHeight="1">
      <c r="A11" s="36"/>
      <c r="B11" s="36" t="s">
        <v>19</v>
      </c>
      <c r="C11" s="37">
        <f t="shared" ref="C11:M11" si="0">C12+C65</f>
        <v>34747551</v>
      </c>
      <c r="D11" s="37">
        <f t="shared" si="0"/>
        <v>32674896.756049998</v>
      </c>
      <c r="E11" s="37">
        <f t="shared" si="0"/>
        <v>30065294.955050003</v>
      </c>
      <c r="F11" s="37">
        <f>F12+F65</f>
        <v>23281551.367384396</v>
      </c>
      <c r="G11" s="38">
        <f t="shared" si="0"/>
        <v>3524360.0929263951</v>
      </c>
      <c r="H11" s="38">
        <f t="shared" si="0"/>
        <v>6135905.3390989993</v>
      </c>
      <c r="I11" s="38">
        <f t="shared" si="0"/>
        <v>6822417.3353589997</v>
      </c>
      <c r="J11" s="38">
        <f t="shared" si="0"/>
        <v>6798868.5999999996</v>
      </c>
      <c r="K11" s="37">
        <f t="shared" si="0"/>
        <v>5857743.5876656082</v>
      </c>
      <c r="L11" s="37" t="e">
        <f t="shared" si="0"/>
        <v>#REF!</v>
      </c>
      <c r="M11" s="37" t="e">
        <f t="shared" si="0"/>
        <v>#REF!</v>
      </c>
      <c r="N11" s="39"/>
      <c r="O11" s="40"/>
      <c r="Q11" s="42"/>
      <c r="T11" s="43"/>
      <c r="U11" s="42">
        <f>E11-E14-E16-E18-E21-E25-E26-E46-E51-E52-E64-E68-E38-E48</f>
        <v>19120238.6746764</v>
      </c>
      <c r="V11" s="42">
        <f>H12-'[1]PL TongHOp 21-25 (IN)'!$P$11</f>
        <v>-0.1830000001937151</v>
      </c>
      <c r="W11" s="202">
        <f>I12-'[1]PL TongHOp 21-25 (IN)'!$Q$11</f>
        <v>-8.7000000290572643E-2</v>
      </c>
      <c r="X11" s="203">
        <f>J12-'[1]PL TongHOp 21-25 (IN)'!$R$11</f>
        <v>-0.33300000056624413</v>
      </c>
      <c r="EU11" s="44"/>
      <c r="EV11" s="45"/>
      <c r="EW11" s="46"/>
      <c r="EX11" s="47"/>
    </row>
    <row r="12" spans="1:154" s="53" customFormat="1" ht="21" customHeight="1">
      <c r="A12" s="48" t="s">
        <v>20</v>
      </c>
      <c r="B12" s="49" t="s">
        <v>21</v>
      </c>
      <c r="C12" s="50">
        <f>C13+C37+C44+C47+C64</f>
        <v>26626849</v>
      </c>
      <c r="D12" s="50">
        <f>D13+D37+D44+D47+D64</f>
        <v>23754494.506049998</v>
      </c>
      <c r="E12" s="50">
        <f>E13+E37+E44+E47+E64</f>
        <v>21144592.705050003</v>
      </c>
      <c r="F12" s="50">
        <f>+F13+F37+F47+F44+F64</f>
        <v>15857121.367384395</v>
      </c>
      <c r="G12" s="51">
        <f>+G13+G37+G47+G44+G64</f>
        <v>2469501.0929263951</v>
      </c>
      <c r="H12" s="51">
        <f>+H13+H37+H47+H44+H64</f>
        <v>4045823.3390989997</v>
      </c>
      <c r="I12" s="51">
        <f>+I13+I37+I47+I44+I64</f>
        <v>4400782.3353589997</v>
      </c>
      <c r="J12" s="51">
        <f>+J13+J37+J47+J44+J64</f>
        <v>4941014.5999999996</v>
      </c>
      <c r="K12" s="50">
        <f>K13+K37+K44+K47+K64</f>
        <v>4361471.3376656082</v>
      </c>
      <c r="L12" s="50" t="e">
        <f>#REF!</f>
        <v>#REF!</v>
      </c>
      <c r="M12" s="50" t="e">
        <f>#REF!</f>
        <v>#REF!</v>
      </c>
      <c r="N12" s="52"/>
      <c r="O12" s="18"/>
      <c r="P12" s="29"/>
      <c r="Q12" s="30"/>
      <c r="S12" s="54">
        <f t="shared" ref="S12:S48" si="1">D12-G12-H12-I12-K12</f>
        <v>8476916.4009999949</v>
      </c>
      <c r="T12" s="55"/>
      <c r="U12" s="56"/>
      <c r="EU12" s="57"/>
      <c r="EV12" s="58"/>
      <c r="EW12" s="59"/>
      <c r="EX12" s="60"/>
    </row>
    <row r="13" spans="1:154" s="72" customFormat="1" ht="22.5" customHeight="1" outlineLevel="1">
      <c r="A13" s="65" t="s">
        <v>22</v>
      </c>
      <c r="B13" s="66" t="s">
        <v>23</v>
      </c>
      <c r="C13" s="67">
        <v>12750800</v>
      </c>
      <c r="D13" s="67">
        <f t="shared" ref="D13:K13" si="2">D14+D15</f>
        <v>9725911.5550500005</v>
      </c>
      <c r="E13" s="67">
        <f t="shared" si="2"/>
        <v>10104826.255050004</v>
      </c>
      <c r="F13" s="67">
        <f t="shared" si="2"/>
        <v>6818826.5503843948</v>
      </c>
      <c r="G13" s="68">
        <f t="shared" si="2"/>
        <v>1485330.0929263951</v>
      </c>
      <c r="H13" s="68">
        <f t="shared" si="2"/>
        <v>1599999.5220989999</v>
      </c>
      <c r="I13" s="68">
        <f t="shared" si="2"/>
        <v>1561082.3353590001</v>
      </c>
      <c r="J13" s="68">
        <f t="shared" si="2"/>
        <v>2172414.6</v>
      </c>
      <c r="K13" s="67">
        <f t="shared" si="2"/>
        <v>2359999.7046656087</v>
      </c>
      <c r="L13" s="67">
        <v>2202415</v>
      </c>
      <c r="M13" s="67">
        <f>K13-L13</f>
        <v>157584.7046656087</v>
      </c>
      <c r="N13" s="69"/>
      <c r="O13" s="70"/>
      <c r="P13" s="62"/>
      <c r="Q13" s="71"/>
      <c r="R13" s="71" t="e">
        <f>#REF!+#REF!</f>
        <v>#REF!</v>
      </c>
      <c r="S13" s="54">
        <f t="shared" si="1"/>
        <v>2719499.8999999966</v>
      </c>
      <c r="T13" s="55"/>
      <c r="U13" s="71"/>
      <c r="V13" s="71"/>
      <c r="EU13" s="71">
        <v>1485330.0929263951</v>
      </c>
      <c r="EV13" s="71">
        <f>G13-EU13</f>
        <v>0</v>
      </c>
    </row>
    <row r="14" spans="1:154" s="53" customFormat="1" ht="15.75" outlineLevel="2">
      <c r="A14" s="73" t="s">
        <v>24</v>
      </c>
      <c r="B14" s="74" t="s">
        <v>25</v>
      </c>
      <c r="C14" s="75"/>
      <c r="D14" s="76">
        <f>2693640-1767640</f>
        <v>926000</v>
      </c>
      <c r="E14" s="76">
        <v>926000</v>
      </c>
      <c r="F14" s="76"/>
      <c r="G14" s="77"/>
      <c r="H14" s="77"/>
      <c r="I14" s="77"/>
      <c r="J14" s="77"/>
      <c r="K14" s="76"/>
      <c r="L14" s="76"/>
      <c r="M14" s="75">
        <f t="shared" ref="M14:M64" si="3">K14-L14</f>
        <v>0</v>
      </c>
      <c r="N14" s="78"/>
      <c r="O14" s="79" t="s">
        <v>26</v>
      </c>
      <c r="P14" s="80"/>
      <c r="Q14" s="59"/>
      <c r="R14" s="53">
        <v>40000000</v>
      </c>
      <c r="S14" s="54">
        <f t="shared" si="1"/>
        <v>926000</v>
      </c>
      <c r="T14" s="55"/>
      <c r="EU14" s="64"/>
      <c r="EV14" s="81"/>
      <c r="EW14" s="82"/>
    </row>
    <row r="15" spans="1:154" s="53" customFormat="1" ht="15.75" outlineLevel="2">
      <c r="A15" s="73" t="s">
        <v>27</v>
      </c>
      <c r="B15" s="74" t="s">
        <v>28</v>
      </c>
      <c r="C15" s="75"/>
      <c r="D15" s="76">
        <f t="shared" ref="D15:J15" si="4">D16+D17</f>
        <v>8799911.5550500005</v>
      </c>
      <c r="E15" s="76">
        <f t="shared" si="4"/>
        <v>9178826.2550500035</v>
      </c>
      <c r="F15" s="76">
        <f t="shared" si="4"/>
        <v>6818826.5503843948</v>
      </c>
      <c r="G15" s="77">
        <f t="shared" si="4"/>
        <v>1485330.0929263951</v>
      </c>
      <c r="H15" s="77">
        <f t="shared" si="4"/>
        <v>1599999.5220989999</v>
      </c>
      <c r="I15" s="77">
        <f t="shared" si="4"/>
        <v>1561082.3353590001</v>
      </c>
      <c r="J15" s="77">
        <f t="shared" si="4"/>
        <v>2172414.6</v>
      </c>
      <c r="K15" s="76">
        <f t="shared" ref="K15:K73" si="5">E15-F15</f>
        <v>2359999.7046656087</v>
      </c>
      <c r="L15" s="76"/>
      <c r="M15" s="75">
        <f t="shared" si="3"/>
        <v>2359999.7046656087</v>
      </c>
      <c r="N15" s="78"/>
      <c r="O15" s="83"/>
      <c r="P15" s="84">
        <f>'[2]PB1-DU KIEN NGUON'!S14</f>
        <v>8799911.9503843952</v>
      </c>
      <c r="Q15" s="63" t="e">
        <f>P15-#REF!</f>
        <v>#REF!</v>
      </c>
      <c r="R15" s="85" t="e">
        <f>R13/R14</f>
        <v>#REF!</v>
      </c>
      <c r="S15" s="54">
        <f t="shared" si="1"/>
        <v>1793499.8999999962</v>
      </c>
      <c r="T15" s="55"/>
      <c r="U15" s="63"/>
      <c r="EU15" s="63"/>
      <c r="EV15" s="81"/>
      <c r="EW15" s="63"/>
    </row>
    <row r="16" spans="1:154" s="91" customFormat="1" ht="15.75" outlineLevel="2">
      <c r="A16" s="86" t="s">
        <v>29</v>
      </c>
      <c r="B16" s="87" t="s">
        <v>30</v>
      </c>
      <c r="C16" s="75"/>
      <c r="D16" s="88">
        <f>'[2]PL1 Phan cap (IN)'!D12</f>
        <v>1760000</v>
      </c>
      <c r="E16" s="88">
        <v>1840000.1503736048</v>
      </c>
      <c r="F16" s="88">
        <f>G16+H16+I16+J16</f>
        <v>1368234.8496263952</v>
      </c>
      <c r="G16" s="77">
        <f>'[2]PL1 Phan cap (IN)'!G12</f>
        <v>296999.84962639509</v>
      </c>
      <c r="H16" s="77">
        <f>'[2]PL1 Phan cap (IN)'!H12</f>
        <v>320000</v>
      </c>
      <c r="I16" s="77">
        <f>'[2]PL1 Phan cap (IN)'!I12</f>
        <v>310752</v>
      </c>
      <c r="J16" s="77">
        <v>440483</v>
      </c>
      <c r="K16" s="88">
        <f t="shared" si="5"/>
        <v>471765.30074720969</v>
      </c>
      <c r="L16" s="88"/>
      <c r="M16" s="75">
        <f t="shared" si="3"/>
        <v>471765.30074720969</v>
      </c>
      <c r="N16" s="78"/>
      <c r="O16" s="89"/>
      <c r="P16" s="90">
        <f>'[2]PB1-DU KIEN NGUON'!S15</f>
        <v>1759999.8496263952</v>
      </c>
      <c r="Q16" s="63" t="e">
        <f>P16-#REF!</f>
        <v>#REF!</v>
      </c>
      <c r="R16" s="54"/>
      <c r="S16" s="54">
        <f t="shared" si="1"/>
        <v>360482.84962639515</v>
      </c>
      <c r="T16" s="55"/>
      <c r="EV16" s="92"/>
      <c r="EW16" s="54"/>
    </row>
    <row r="17" spans="1:154" s="91" customFormat="1" ht="15.75" outlineLevel="2">
      <c r="A17" s="86" t="s">
        <v>31</v>
      </c>
      <c r="B17" s="87" t="s">
        <v>32</v>
      </c>
      <c r="C17" s="75"/>
      <c r="D17" s="88">
        <f t="shared" ref="D17:J17" si="6">D18+D19+D20+D21+D25+D26+D27+D28+D32+D33</f>
        <v>7039911.5550500005</v>
      </c>
      <c r="E17" s="88">
        <f t="shared" si="6"/>
        <v>7338826.1046763994</v>
      </c>
      <c r="F17" s="88">
        <f t="shared" si="6"/>
        <v>5450591.7007579999</v>
      </c>
      <c r="G17" s="77">
        <f t="shared" si="6"/>
        <v>1188330.2433</v>
      </c>
      <c r="H17" s="77">
        <f t="shared" si="6"/>
        <v>1279999.5220989999</v>
      </c>
      <c r="I17" s="77">
        <f t="shared" si="6"/>
        <v>1250330.3353590001</v>
      </c>
      <c r="J17" s="77">
        <f t="shared" si="6"/>
        <v>1731931.6</v>
      </c>
      <c r="K17" s="88">
        <f t="shared" si="5"/>
        <v>1888234.4039183995</v>
      </c>
      <c r="L17" s="88"/>
      <c r="M17" s="75">
        <f t="shared" si="3"/>
        <v>1888234.4039183995</v>
      </c>
      <c r="N17" s="78"/>
      <c r="O17" s="89"/>
      <c r="P17" s="90">
        <f>'[2]PB1-DU KIEN NGUON'!S16</f>
        <v>7039912.1007579993</v>
      </c>
      <c r="Q17" s="63" t="e">
        <f>P17-#REF!</f>
        <v>#REF!</v>
      </c>
      <c r="R17" s="54"/>
      <c r="S17" s="54">
        <f t="shared" si="1"/>
        <v>1433017.0503736013</v>
      </c>
      <c r="T17" s="55"/>
      <c r="EV17" s="92"/>
      <c r="EW17" s="54"/>
    </row>
    <row r="18" spans="1:154" s="53" customFormat="1" ht="18" customHeight="1" outlineLevel="2">
      <c r="A18" s="93" t="s">
        <v>29</v>
      </c>
      <c r="B18" s="94" t="s">
        <v>33</v>
      </c>
      <c r="C18" s="75"/>
      <c r="D18" s="96">
        <f>'[2]PL2 Hoàn tra ung truoc (IN)'!H14</f>
        <v>207462.24</v>
      </c>
      <c r="E18" s="96">
        <v>207462.24</v>
      </c>
      <c r="F18" s="96">
        <f>G18+H18+I18+J18</f>
        <v>192410.23999999999</v>
      </c>
      <c r="G18" s="97">
        <f>'[2]PL2 Hoàn tra ung truoc (IN)'!N14</f>
        <v>159450</v>
      </c>
      <c r="H18" s="97">
        <f>'[2]PL2 Hoàn tra ung truoc (IN)'!Q14</f>
        <v>13252.240000000002</v>
      </c>
      <c r="I18" s="97">
        <f>'[2]PL2 Hoàn tra ung truoc (IN)'!T14</f>
        <v>7320</v>
      </c>
      <c r="J18" s="97">
        <v>12388</v>
      </c>
      <c r="K18" s="96">
        <f t="shared" si="5"/>
        <v>15052</v>
      </c>
      <c r="L18" s="96"/>
      <c r="M18" s="75">
        <f t="shared" si="3"/>
        <v>15052</v>
      </c>
      <c r="N18" s="98"/>
      <c r="O18" s="99" t="s">
        <v>34</v>
      </c>
      <c r="P18" s="100"/>
      <c r="Q18" s="101"/>
      <c r="S18" s="54">
        <f t="shared" si="1"/>
        <v>12387.999999999985</v>
      </c>
      <c r="T18" s="102"/>
      <c r="EV18" s="81"/>
    </row>
    <row r="19" spans="1:154" s="53" customFormat="1" ht="20.25" customHeight="1" outlineLevel="2">
      <c r="A19" s="103" t="s">
        <v>31</v>
      </c>
      <c r="B19" s="104" t="s">
        <v>35</v>
      </c>
      <c r="C19" s="75"/>
      <c r="D19" s="106">
        <f>'[2]PL3 Doi ung ODA (IN)'!P15</f>
        <v>300000</v>
      </c>
      <c r="E19" s="106">
        <v>91744</v>
      </c>
      <c r="F19" s="96">
        <f t="shared" ref="F19:F43" si="7">G19+H19+I19+J19</f>
        <v>86693.853999999992</v>
      </c>
      <c r="G19" s="107">
        <f>'[2]PL3 Doi ung ODA (IN)'!R15</f>
        <v>25657.853999999999</v>
      </c>
      <c r="H19" s="107">
        <f>'[2]PL3 Doi ung ODA (IN)'!S15</f>
        <v>41234</v>
      </c>
      <c r="I19" s="107">
        <f>'[2]PL3 Doi ung ODA (IN)'!T15</f>
        <v>11292</v>
      </c>
      <c r="J19" s="107">
        <v>8510</v>
      </c>
      <c r="K19" s="96">
        <f t="shared" si="5"/>
        <v>5050.1460000000079</v>
      </c>
      <c r="L19" s="106"/>
      <c r="M19" s="75">
        <f t="shared" si="3"/>
        <v>5050.1460000000079</v>
      </c>
      <c r="N19" s="78"/>
      <c r="O19" s="108" t="s">
        <v>36</v>
      </c>
      <c r="P19" s="109"/>
      <c r="Q19" s="63"/>
      <c r="S19" s="54">
        <f t="shared" si="1"/>
        <v>216766</v>
      </c>
      <c r="T19" s="55"/>
      <c r="DE19" s="53">
        <f>678400/12750.8</f>
        <v>53.204504815384134</v>
      </c>
      <c r="EV19" s="81"/>
    </row>
    <row r="20" spans="1:154" s="53" customFormat="1" ht="20.25" customHeight="1" outlineLevel="2">
      <c r="A20" s="103" t="s">
        <v>37</v>
      </c>
      <c r="B20" s="104" t="s">
        <v>38</v>
      </c>
      <c r="C20" s="75"/>
      <c r="D20" s="106">
        <f>'[2]PL12 Quyet toan'!M12</f>
        <v>200000</v>
      </c>
      <c r="E20" s="106">
        <v>200000</v>
      </c>
      <c r="F20" s="96">
        <f t="shared" si="7"/>
        <v>156262.77875800003</v>
      </c>
      <c r="G20" s="107">
        <f>'[2]PL12 Quyet toan'!N12</f>
        <v>24552.443300000017</v>
      </c>
      <c r="H20" s="107">
        <f>'[2]PL12 Quyet toan'!O12</f>
        <v>21215.400099000013</v>
      </c>
      <c r="I20" s="107">
        <f>'[2]PL12 Quyet toan'!P12</f>
        <v>58772.335359000004</v>
      </c>
      <c r="J20" s="107">
        <v>51722.6</v>
      </c>
      <c r="K20" s="96">
        <f t="shared" si="5"/>
        <v>43737.221241999971</v>
      </c>
      <c r="L20" s="106"/>
      <c r="M20" s="75">
        <f t="shared" si="3"/>
        <v>43737.221241999971</v>
      </c>
      <c r="N20" s="78"/>
      <c r="O20" s="108" t="s">
        <v>39</v>
      </c>
      <c r="P20" s="109"/>
      <c r="Q20" s="63"/>
      <c r="S20" s="54">
        <f t="shared" si="1"/>
        <v>51722.599999999991</v>
      </c>
      <c r="T20" s="55"/>
      <c r="U20" s="63"/>
      <c r="V20" s="85"/>
      <c r="DE20" s="53">
        <f>+DE19*12750.8</f>
        <v>678400</v>
      </c>
    </row>
    <row r="21" spans="1:154" s="53" customFormat="1" ht="32.25" customHeight="1" outlineLevel="2">
      <c r="A21" s="103" t="s">
        <v>40</v>
      </c>
      <c r="B21" s="104" t="s">
        <v>41</v>
      </c>
      <c r="C21" s="75"/>
      <c r="D21" s="106">
        <f>1000000+142000+8000+24495</f>
        <v>1174495</v>
      </c>
      <c r="E21" s="106">
        <v>1140527.94</v>
      </c>
      <c r="F21" s="96">
        <f t="shared" si="7"/>
        <v>705802</v>
      </c>
      <c r="G21" s="107">
        <f>'[2]Đieu chinh khv 2021'!AL14</f>
        <v>140000</v>
      </c>
      <c r="H21" s="107">
        <f>'[2]Đieu chinh khv 2022'!R16</f>
        <v>161643</v>
      </c>
      <c r="I21" s="107">
        <f>100000+11059</f>
        <v>111059</v>
      </c>
      <c r="J21" s="107">
        <v>293100</v>
      </c>
      <c r="K21" s="96">
        <f t="shared" si="5"/>
        <v>434725.93999999994</v>
      </c>
      <c r="L21" s="106"/>
      <c r="M21" s="75">
        <f t="shared" si="3"/>
        <v>434725.93999999994</v>
      </c>
      <c r="N21" s="78"/>
      <c r="O21" s="108" t="s">
        <v>42</v>
      </c>
      <c r="P21" s="109"/>
      <c r="Q21" s="63"/>
      <c r="S21" s="54">
        <f t="shared" si="1"/>
        <v>327067.06000000006</v>
      </c>
      <c r="T21" s="55"/>
      <c r="U21" s="63"/>
      <c r="EU21" s="63"/>
    </row>
    <row r="22" spans="1:154" s="53" customFormat="1" ht="60" outlineLevel="3">
      <c r="A22" s="138" t="s">
        <v>53</v>
      </c>
      <c r="B22" s="201" t="s">
        <v>111</v>
      </c>
      <c r="C22" s="75"/>
      <c r="D22" s="115">
        <v>989495.06</v>
      </c>
      <c r="E22" s="115">
        <v>973800</v>
      </c>
      <c r="F22" s="96"/>
      <c r="G22" s="107"/>
      <c r="H22" s="107"/>
      <c r="I22" s="107"/>
      <c r="J22" s="107">
        <v>248400</v>
      </c>
      <c r="K22" s="96">
        <f t="shared" si="5"/>
        <v>973800</v>
      </c>
      <c r="L22" s="106"/>
      <c r="M22" s="75"/>
      <c r="N22" s="78"/>
      <c r="O22" s="108"/>
      <c r="P22" s="109"/>
      <c r="Q22" s="63"/>
      <c r="S22" s="54"/>
      <c r="T22" s="55"/>
      <c r="U22" s="63"/>
      <c r="EU22" s="63"/>
    </row>
    <row r="23" spans="1:154" s="53" customFormat="1" ht="15.75" outlineLevel="3">
      <c r="A23" s="138" t="s">
        <v>53</v>
      </c>
      <c r="B23" s="201" t="s">
        <v>112</v>
      </c>
      <c r="C23" s="75"/>
      <c r="D23" s="115">
        <v>74379</v>
      </c>
      <c r="E23" s="115">
        <v>56107</v>
      </c>
      <c r="F23" s="96"/>
      <c r="G23" s="107"/>
      <c r="H23" s="107"/>
      <c r="I23" s="107"/>
      <c r="J23" s="107">
        <v>14543</v>
      </c>
      <c r="K23" s="96">
        <f t="shared" si="5"/>
        <v>56107</v>
      </c>
      <c r="L23" s="106"/>
      <c r="M23" s="75"/>
      <c r="N23" s="78"/>
      <c r="O23" s="108"/>
      <c r="P23" s="109"/>
      <c r="Q23" s="63"/>
      <c r="S23" s="54"/>
      <c r="T23" s="55"/>
      <c r="EU23" s="63"/>
    </row>
    <row r="24" spans="1:154" s="53" customFormat="1" ht="30" outlineLevel="3">
      <c r="A24" s="138" t="s">
        <v>53</v>
      </c>
      <c r="B24" s="201" t="s">
        <v>113</v>
      </c>
      <c r="C24" s="75"/>
      <c r="D24" s="115">
        <v>110620.93999999994</v>
      </c>
      <c r="E24" s="115">
        <v>110620.93999999994</v>
      </c>
      <c r="F24" s="96"/>
      <c r="G24" s="107"/>
      <c r="H24" s="107"/>
      <c r="I24" s="107"/>
      <c r="J24" s="107">
        <v>30157</v>
      </c>
      <c r="K24" s="96">
        <f t="shared" si="5"/>
        <v>110620.93999999994</v>
      </c>
      <c r="L24" s="106"/>
      <c r="M24" s="75"/>
      <c r="N24" s="78"/>
      <c r="O24" s="108"/>
      <c r="P24" s="109"/>
      <c r="Q24" s="63"/>
      <c r="S24" s="54"/>
      <c r="T24" s="55"/>
      <c r="EU24" s="63"/>
    </row>
    <row r="25" spans="1:154" s="53" customFormat="1" ht="15.75" outlineLevel="2">
      <c r="A25" s="103" t="s">
        <v>43</v>
      </c>
      <c r="B25" s="104" t="s">
        <v>44</v>
      </c>
      <c r="C25" s="75"/>
      <c r="D25" s="106">
        <f>'[2]PL13-CBDT'!BT12</f>
        <v>16000</v>
      </c>
      <c r="E25" s="106">
        <v>25000</v>
      </c>
      <c r="F25" s="96">
        <f t="shared" si="7"/>
        <v>16100</v>
      </c>
      <c r="G25" s="107">
        <f>'[2]PL13-CBDT'!BW12</f>
        <v>5050</v>
      </c>
      <c r="H25" s="107">
        <f>'[2]PL13-CBDT'!BY12</f>
        <v>5150</v>
      </c>
      <c r="I25" s="107">
        <v>4200</v>
      </c>
      <c r="J25" s="107">
        <v>1700</v>
      </c>
      <c r="K25" s="96">
        <f t="shared" si="5"/>
        <v>8900</v>
      </c>
      <c r="L25" s="106"/>
      <c r="M25" s="75">
        <f t="shared" si="3"/>
        <v>8900</v>
      </c>
      <c r="N25" s="78"/>
      <c r="O25" s="108" t="s">
        <v>45</v>
      </c>
      <c r="P25" s="109"/>
      <c r="Q25" s="63"/>
      <c r="S25" s="54">
        <f t="shared" si="1"/>
        <v>-7300</v>
      </c>
      <c r="T25" s="55"/>
    </row>
    <row r="26" spans="1:154" s="53" customFormat="1" ht="33" customHeight="1" outlineLevel="2">
      <c r="A26" s="103" t="s">
        <v>46</v>
      </c>
      <c r="B26" s="104" t="s">
        <v>47</v>
      </c>
      <c r="C26" s="75"/>
      <c r="D26" s="106">
        <f>50000-45000</f>
        <v>5000</v>
      </c>
      <c r="E26" s="106">
        <v>5000</v>
      </c>
      <c r="F26" s="96">
        <f t="shared" si="7"/>
        <v>0</v>
      </c>
      <c r="G26" s="107"/>
      <c r="H26" s="107">
        <v>0</v>
      </c>
      <c r="I26" s="107">
        <f>5000-5000</f>
        <v>0</v>
      </c>
      <c r="J26" s="107"/>
      <c r="K26" s="96">
        <f t="shared" si="5"/>
        <v>5000</v>
      </c>
      <c r="L26" s="106"/>
      <c r="M26" s="75">
        <f t="shared" si="3"/>
        <v>5000</v>
      </c>
      <c r="N26" s="78"/>
      <c r="O26" s="108" t="s">
        <v>48</v>
      </c>
      <c r="P26" s="109"/>
      <c r="Q26" s="63"/>
      <c r="S26" s="54">
        <f t="shared" si="1"/>
        <v>0</v>
      </c>
      <c r="T26" s="55"/>
    </row>
    <row r="27" spans="1:154" s="53" customFormat="1" ht="19.5" customHeight="1" outlineLevel="2">
      <c r="A27" s="103" t="s">
        <v>49</v>
      </c>
      <c r="B27" s="104" t="s">
        <v>50</v>
      </c>
      <c r="C27" s="75"/>
      <c r="D27" s="106">
        <f>'[2]PL4 Quy hoạch (IN)'!I13</f>
        <v>45000</v>
      </c>
      <c r="E27" s="106">
        <v>35000</v>
      </c>
      <c r="F27" s="96">
        <f t="shared" si="7"/>
        <v>34000</v>
      </c>
      <c r="G27" s="107">
        <f>'[2]PL4 Quy hoạch (IN)'!K13</f>
        <v>15000</v>
      </c>
      <c r="H27" s="107">
        <f>'[2]PL4 Quy hoạch (IN)'!L13</f>
        <v>15000</v>
      </c>
      <c r="I27" s="107">
        <f>'[2]PL4 Quy hoạch (IN)'!M13</f>
        <v>4000</v>
      </c>
      <c r="J27" s="107"/>
      <c r="K27" s="96">
        <f t="shared" si="5"/>
        <v>1000</v>
      </c>
      <c r="L27" s="106"/>
      <c r="M27" s="75">
        <f t="shared" si="3"/>
        <v>1000</v>
      </c>
      <c r="N27" s="98"/>
      <c r="O27" s="108"/>
      <c r="P27" s="109"/>
      <c r="Q27" s="63"/>
      <c r="S27" s="54">
        <f t="shared" si="1"/>
        <v>10000</v>
      </c>
      <c r="T27" s="55"/>
      <c r="EV27" s="63"/>
    </row>
    <row r="28" spans="1:154" s="53" customFormat="1" ht="20.25" customHeight="1" outlineLevel="2">
      <c r="A28" s="103" t="s">
        <v>51</v>
      </c>
      <c r="B28" s="104" t="s">
        <v>52</v>
      </c>
      <c r="C28" s="75"/>
      <c r="D28" s="106">
        <f>SUM(D29:D31)</f>
        <v>1328700</v>
      </c>
      <c r="E28" s="106">
        <v>1189600</v>
      </c>
      <c r="F28" s="96">
        <f t="shared" si="7"/>
        <v>766910</v>
      </c>
      <c r="G28" s="107">
        <f>SUM(G29:G31)</f>
        <v>6000</v>
      </c>
      <c r="H28" s="107">
        <f>SUM(H29:H31)</f>
        <v>31000</v>
      </c>
      <c r="I28" s="107">
        <f>SUM(I29:I31)</f>
        <v>199610</v>
      </c>
      <c r="J28" s="107">
        <v>530300</v>
      </c>
      <c r="K28" s="96">
        <f t="shared" si="5"/>
        <v>422690</v>
      </c>
      <c r="L28" s="106"/>
      <c r="M28" s="75">
        <f t="shared" si="3"/>
        <v>422690</v>
      </c>
      <c r="N28" s="98"/>
      <c r="O28" s="79"/>
      <c r="P28" s="109"/>
      <c r="S28" s="54">
        <f t="shared" si="1"/>
        <v>669400</v>
      </c>
      <c r="T28" s="55"/>
      <c r="U28" s="110"/>
      <c r="V28" s="111"/>
      <c r="EU28" s="63"/>
      <c r="EW28" s="63"/>
      <c r="EX28" s="63"/>
    </row>
    <row r="29" spans="1:154" s="118" customFormat="1" ht="19.5" hidden="1" customHeight="1" outlineLevel="3">
      <c r="A29" s="112" t="s">
        <v>53</v>
      </c>
      <c r="B29" s="113" t="s">
        <v>54</v>
      </c>
      <c r="C29" s="75"/>
      <c r="D29" s="115">
        <f>'[2]PL5 DOi Ung von DA NSTW (IN)'!CB15</f>
        <v>1119700</v>
      </c>
      <c r="E29" s="115">
        <v>991200</v>
      </c>
      <c r="F29" s="96">
        <f t="shared" si="7"/>
        <v>661010</v>
      </c>
      <c r="G29" s="107">
        <f>'[2]PL5 DOi Ung von DA NSTW (IN)'!CM15</f>
        <v>0</v>
      </c>
      <c r="H29" s="107">
        <f>'[2]PL5 DOi Ung von DA NSTW (IN)'!CR15</f>
        <v>31000</v>
      </c>
      <c r="I29" s="107">
        <v>168110</v>
      </c>
      <c r="J29" s="107">
        <v>461900</v>
      </c>
      <c r="K29" s="96">
        <f t="shared" si="5"/>
        <v>330190</v>
      </c>
      <c r="L29" s="115"/>
      <c r="M29" s="75">
        <f t="shared" si="3"/>
        <v>330190</v>
      </c>
      <c r="N29" s="98"/>
      <c r="O29" s="108" t="s">
        <v>55</v>
      </c>
      <c r="P29" s="116"/>
      <c r="Q29" s="117"/>
      <c r="S29" s="54">
        <f t="shared" si="1"/>
        <v>590400</v>
      </c>
      <c r="T29" s="55"/>
      <c r="U29" s="63"/>
      <c r="EU29" s="117"/>
      <c r="EW29" s="117"/>
      <c r="EX29" s="117"/>
    </row>
    <row r="30" spans="1:154" s="118" customFormat="1" ht="18.75" hidden="1" customHeight="1" outlineLevel="3">
      <c r="A30" s="112" t="s">
        <v>53</v>
      </c>
      <c r="B30" s="113" t="s">
        <v>56</v>
      </c>
      <c r="C30" s="75"/>
      <c r="D30" s="115">
        <f>'[2]PL5 DOi Ung von DA NSTW (IN)'!CB50</f>
        <v>171000</v>
      </c>
      <c r="E30" s="115">
        <v>176000</v>
      </c>
      <c r="F30" s="96">
        <f t="shared" si="7"/>
        <v>83500</v>
      </c>
      <c r="G30" s="107">
        <f>'[2]PL5 DOi Ung von DA NSTW (IN)'!CM50</f>
        <v>6000</v>
      </c>
      <c r="H30" s="107">
        <f>'[2]PL5 DOi Ung von DA NSTW (IN)'!CR50</f>
        <v>0</v>
      </c>
      <c r="I30" s="107">
        <f>'[2]PL5 DOi Ung von DA NSTW (IN)'!CW50</f>
        <v>20000</v>
      </c>
      <c r="J30" s="107">
        <v>57500</v>
      </c>
      <c r="K30" s="96">
        <f t="shared" si="5"/>
        <v>92500</v>
      </c>
      <c r="L30" s="115"/>
      <c r="M30" s="75">
        <f t="shared" si="3"/>
        <v>92500</v>
      </c>
      <c r="N30" s="98"/>
      <c r="O30" s="119" t="s">
        <v>57</v>
      </c>
      <c r="P30" s="116"/>
      <c r="S30" s="54">
        <f t="shared" si="1"/>
        <v>52500</v>
      </c>
      <c r="T30" s="55"/>
      <c r="U30" s="63"/>
      <c r="EU30" s="117"/>
      <c r="EW30" s="117"/>
      <c r="EX30" s="117"/>
    </row>
    <row r="31" spans="1:154" s="118" customFormat="1" ht="19.149999999999999" hidden="1" customHeight="1" outlineLevel="3">
      <c r="A31" s="112" t="s">
        <v>53</v>
      </c>
      <c r="B31" s="113" t="s">
        <v>58</v>
      </c>
      <c r="C31" s="75"/>
      <c r="D31" s="115">
        <f>'[2]PL5 DOi Ung von DA NSTW (IN)'!CA64</f>
        <v>38000</v>
      </c>
      <c r="E31" s="115">
        <v>22400</v>
      </c>
      <c r="F31" s="96">
        <f t="shared" si="7"/>
        <v>22400</v>
      </c>
      <c r="G31" s="107">
        <f>'[2]PL5 DOi Ung von DA NSTW (IN)'!CM64</f>
        <v>0</v>
      </c>
      <c r="H31" s="107">
        <f>'[2]PL5 DOi Ung von DA NSTW (IN)'!CR64</f>
        <v>0</v>
      </c>
      <c r="I31" s="107">
        <f>'[2]PL5 DOi Ung von DA NSTW (IN)'!CW64</f>
        <v>11500</v>
      </c>
      <c r="J31" s="107">
        <v>10900</v>
      </c>
      <c r="K31" s="96">
        <f t="shared" si="5"/>
        <v>0</v>
      </c>
      <c r="L31" s="115"/>
      <c r="M31" s="75">
        <f t="shared" si="3"/>
        <v>0</v>
      </c>
      <c r="N31" s="98"/>
      <c r="O31" s="108" t="s">
        <v>59</v>
      </c>
      <c r="P31" s="116"/>
      <c r="S31" s="54">
        <f t="shared" si="1"/>
        <v>26500</v>
      </c>
      <c r="T31" s="55"/>
      <c r="U31" s="63"/>
      <c r="EU31" s="117"/>
      <c r="EW31" s="117"/>
      <c r="EX31" s="117"/>
    </row>
    <row r="32" spans="1:154" s="121" customFormat="1" ht="22.5" customHeight="1" outlineLevel="2" collapsed="1">
      <c r="A32" s="103" t="s">
        <v>60</v>
      </c>
      <c r="B32" s="104" t="s">
        <v>61</v>
      </c>
      <c r="C32" s="75"/>
      <c r="D32" s="106">
        <f>'[2]PL6 chuyen tiep 16-20 (IN)'!CA14</f>
        <v>887904.31504999998</v>
      </c>
      <c r="E32" s="106">
        <v>943304.31504999998</v>
      </c>
      <c r="F32" s="96">
        <f t="shared" si="7"/>
        <v>887905.02799999993</v>
      </c>
      <c r="G32" s="107">
        <f>'[2]PL6 chuyen tiep 16-20 (IN)'!CH14</f>
        <v>367742.14600000001</v>
      </c>
      <c r="H32" s="107">
        <f>'[2]PL6 chuyen tiep 16-20 (IN)'!CL14</f>
        <v>302121.88199999998</v>
      </c>
      <c r="I32" s="107">
        <v>159470</v>
      </c>
      <c r="J32" s="107">
        <v>58571</v>
      </c>
      <c r="K32" s="96">
        <f t="shared" si="5"/>
        <v>55399.287050000043</v>
      </c>
      <c r="L32" s="106"/>
      <c r="M32" s="75">
        <f t="shared" si="3"/>
        <v>55399.287050000043</v>
      </c>
      <c r="N32" s="98"/>
      <c r="O32" s="108" t="s">
        <v>62</v>
      </c>
      <c r="P32" s="120"/>
      <c r="S32" s="54">
        <f t="shared" si="1"/>
        <v>3170.9999999999418</v>
      </c>
      <c r="T32" s="55"/>
      <c r="U32" s="63">
        <v>14161000</v>
      </c>
      <c r="W32" s="122"/>
      <c r="EU32" s="123"/>
      <c r="EV32" s="123">
        <f>157500+27000</f>
        <v>184500</v>
      </c>
      <c r="EW32" s="123"/>
    </row>
    <row r="33" spans="1:158" s="121" customFormat="1" ht="21.75" customHeight="1" outlineLevel="2" collapsed="1">
      <c r="A33" s="103" t="s">
        <v>63</v>
      </c>
      <c r="B33" s="104" t="s">
        <v>74</v>
      </c>
      <c r="C33" s="75"/>
      <c r="D33" s="124">
        <f>D34+D35</f>
        <v>2875350</v>
      </c>
      <c r="E33" s="124">
        <v>3501187.6096263998</v>
      </c>
      <c r="F33" s="96">
        <f t="shared" si="7"/>
        <v>2604507.7999999998</v>
      </c>
      <c r="G33" s="107">
        <f>G34+G35</f>
        <v>444877.8</v>
      </c>
      <c r="H33" s="107">
        <f>H34+H35</f>
        <v>689383</v>
      </c>
      <c r="I33" s="107">
        <f>I34+I35</f>
        <v>694607</v>
      </c>
      <c r="J33" s="107">
        <v>775640</v>
      </c>
      <c r="K33" s="96">
        <f t="shared" si="5"/>
        <v>896679.80962640001</v>
      </c>
      <c r="L33" s="124"/>
      <c r="M33" s="75">
        <f t="shared" si="3"/>
        <v>896679.80962640001</v>
      </c>
      <c r="N33" s="98"/>
      <c r="O33" s="79"/>
      <c r="P33" s="120"/>
      <c r="Q33" s="125"/>
      <c r="S33" s="54">
        <f t="shared" si="1"/>
        <v>149802.39037360018</v>
      </c>
      <c r="T33" s="55"/>
      <c r="U33" s="63">
        <f>U11-U32</f>
        <v>4959238.6746763997</v>
      </c>
      <c r="W33" s="123"/>
      <c r="EU33" s="123"/>
      <c r="EV33" s="126"/>
      <c r="EW33" s="123"/>
      <c r="EX33" s="123"/>
      <c r="EY33" s="123"/>
      <c r="EZ33" s="123"/>
      <c r="FA33" s="123"/>
      <c r="FB33" s="123"/>
    </row>
    <row r="34" spans="1:158" s="118" customFormat="1" ht="17.25" hidden="1" customHeight="1" outlineLevel="2">
      <c r="A34" s="112" t="s">
        <v>53</v>
      </c>
      <c r="B34" s="113" t="s">
        <v>114</v>
      </c>
      <c r="C34" s="75"/>
      <c r="D34" s="107">
        <f>'[2]PL7- Khoi cong moi 21-25(IN)'!Q16-D35</f>
        <v>2599226</v>
      </c>
      <c r="E34" s="107">
        <v>3315075.0000000023</v>
      </c>
      <c r="F34" s="127">
        <f t="shared" si="7"/>
        <v>2604507.7999999998</v>
      </c>
      <c r="G34" s="107">
        <f>'[2]PL7- Khoi cong moi 21-25(IN)'!Y16-G35</f>
        <v>444877.8</v>
      </c>
      <c r="H34" s="107">
        <f>'[2]PL7- Khoi cong moi 21-25(IN)'!AD16-H35</f>
        <v>689383</v>
      </c>
      <c r="I34" s="107">
        <v>694607</v>
      </c>
      <c r="J34" s="107">
        <v>775640</v>
      </c>
      <c r="K34" s="127">
        <f t="shared" si="5"/>
        <v>710567.20000000251</v>
      </c>
      <c r="L34" s="107"/>
      <c r="M34" s="75">
        <f t="shared" si="3"/>
        <v>710567.20000000251</v>
      </c>
      <c r="N34" s="98"/>
      <c r="O34" s="108" t="s">
        <v>62</v>
      </c>
      <c r="P34" s="120"/>
      <c r="Q34" s="128"/>
      <c r="S34" s="54">
        <f t="shared" si="1"/>
        <v>59790.999999997672</v>
      </c>
      <c r="T34" s="55"/>
      <c r="U34" s="110"/>
      <c r="W34" s="129"/>
      <c r="EU34" s="117"/>
      <c r="EV34" s="130"/>
      <c r="EW34" s="117"/>
      <c r="EX34" s="117"/>
      <c r="EY34" s="117"/>
      <c r="EZ34" s="117"/>
      <c r="FA34" s="117"/>
      <c r="FB34" s="117"/>
    </row>
    <row r="35" spans="1:158" s="118" customFormat="1" ht="15.75" hidden="1" outlineLevel="2">
      <c r="A35" s="112" t="s">
        <v>53</v>
      </c>
      <c r="B35" s="113" t="s">
        <v>115</v>
      </c>
      <c r="C35" s="75"/>
      <c r="D35" s="107">
        <f>'[2]PL7- Khoi cong moi 21-25(IN)'!Q30+'[2]PL7- Khoi cong moi 21-25(IN)'!Q42+'[2]PL7- Khoi cong moi 21-25(IN)'!Q43+'[2]PL7- Khoi cong moi 21-25(IN)'!Q58+'[2]PL7- Khoi cong moi 21-25(IN)'!Q59+'[2]PL7- Khoi cong moi 21-25(IN)'!Q70+'[2]PL7- Khoi cong moi 21-25(IN)'!Q75+'[2]PL7- Khoi cong moi 21-25(IN)'!Q97+'[2]PL7- Khoi cong moi 21-25(IN)'!Q112+'[2]PL7- Khoi cong moi 21-25(IN)'!Q113+'[2]PL7- Khoi cong moi 21-25(IN)'!Q122+'[2]PL7- Khoi cong moi 21-25(IN)'!Q123+'[2]PL7- Khoi cong moi 21-25(IN)'!Q128+'[2]PL7- Khoi cong moi 21-25(IN)'!Q129+'[2]PL7- Khoi cong moi 21-25(IN)'!Q130+'[2]PL7- Khoi cong moi 21-25(IN)'!Q131+'[2]PL7- Khoi cong moi 21-25(IN)'!Q134+'[2]PL7- Khoi cong moi 21-25(IN)'!Q135+'[2]PL7- Khoi cong moi 21-25(IN)'!Q136+'[2]PL7- Khoi cong moi 21-25(IN)'!Q137+'[2]PL7- Khoi cong moi 21-25(IN)'!Q138+'[2]PL7- Khoi cong moi 21-25(IN)'!Q153+'[2]PL7- Khoi cong moi 21-25(IN)'!Q167+'[2]PL7- Khoi cong moi 21-25(IN)'!Q168+'[2]PL7- Khoi cong moi 21-25(IN)'!Q169+'[2]PL7- Khoi cong moi 21-25(IN)'!Q185+'[2]PL7- Khoi cong moi 21-25(IN)'!Q214+'[2]PL7- Khoi cong moi 21-25(IN)'!Q224+'[2]PL7- Khoi cong moi 21-25(IN)'!Q234+'[2]PL7- Khoi cong moi 21-25(IN)'!Q252</f>
        <v>276124</v>
      </c>
      <c r="E35" s="107">
        <v>140000</v>
      </c>
      <c r="F35" s="127">
        <f t="shared" si="7"/>
        <v>0</v>
      </c>
      <c r="G35" s="107">
        <f>'[2]PL7- Khoi cong moi 21-25(IN)'!Y30+'[2]PL7- Khoi cong moi 21-25(IN)'!Y42+'[2]PL7- Khoi cong moi 21-25(IN)'!Y43+'[2]PL7- Khoi cong moi 21-25(IN)'!Y58+'[2]PL7- Khoi cong moi 21-25(IN)'!Y59+'[2]PL7- Khoi cong moi 21-25(IN)'!Y70+'[2]PL7- Khoi cong moi 21-25(IN)'!Y75+'[2]PL7- Khoi cong moi 21-25(IN)'!Y97+'[2]PL7- Khoi cong moi 21-25(IN)'!Y112+'[2]PL7- Khoi cong moi 21-25(IN)'!Y113+'[2]PL7- Khoi cong moi 21-25(IN)'!Y122+'[2]PL7- Khoi cong moi 21-25(IN)'!Y123+'[2]PL7- Khoi cong moi 21-25(IN)'!Y128+'[2]PL7- Khoi cong moi 21-25(IN)'!Y129+'[2]PL7- Khoi cong moi 21-25(IN)'!Y130+'[2]PL7- Khoi cong moi 21-25(IN)'!Y131+'[2]PL7- Khoi cong moi 21-25(IN)'!Y134+'[2]PL7- Khoi cong moi 21-25(IN)'!Y135+'[2]PL7- Khoi cong moi 21-25(IN)'!Y136+'[2]PL7- Khoi cong moi 21-25(IN)'!Y137+'[2]PL7- Khoi cong moi 21-25(IN)'!Y138+'[2]PL7- Khoi cong moi 21-25(IN)'!Y153+'[2]PL7- Khoi cong moi 21-25(IN)'!Y167+'[2]PL7- Khoi cong moi 21-25(IN)'!Y168+'[2]PL7- Khoi cong moi 21-25(IN)'!Y169+'[2]PL7- Khoi cong moi 21-25(IN)'!Y185+'[2]PL7- Khoi cong moi 21-25(IN)'!Y214+'[2]PL7- Khoi cong moi 21-25(IN)'!Y224+'[2]PL7- Khoi cong moi 21-25(IN)'!Y234+'[2]PL7- Khoi cong moi 21-25(IN)'!Y252</f>
        <v>0</v>
      </c>
      <c r="H35" s="107">
        <f>'[2]PL7- Khoi cong moi 21-25(IN)'!AD30+'[2]PL7- Khoi cong moi 21-25(IN)'!AD42+'[2]PL7- Khoi cong moi 21-25(IN)'!AD43+'[2]PL7- Khoi cong moi 21-25(IN)'!AD58+'[2]PL7- Khoi cong moi 21-25(IN)'!AD59+'[2]PL7- Khoi cong moi 21-25(IN)'!AD70+'[2]PL7- Khoi cong moi 21-25(IN)'!AD75+'[2]PL7- Khoi cong moi 21-25(IN)'!AD97+'[2]PL7- Khoi cong moi 21-25(IN)'!AD112+'[2]PL7- Khoi cong moi 21-25(IN)'!AD113+'[2]PL7- Khoi cong moi 21-25(IN)'!AD122+'[2]PL7- Khoi cong moi 21-25(IN)'!AD123+'[2]PL7- Khoi cong moi 21-25(IN)'!AD128+'[2]PL7- Khoi cong moi 21-25(IN)'!AD129+'[2]PL7- Khoi cong moi 21-25(IN)'!AD130+'[2]PL7- Khoi cong moi 21-25(IN)'!AD131+'[2]PL7- Khoi cong moi 21-25(IN)'!AD134+'[2]PL7- Khoi cong moi 21-25(IN)'!AD135+'[2]PL7- Khoi cong moi 21-25(IN)'!AD136+'[2]PL7- Khoi cong moi 21-25(IN)'!AD137+'[2]PL7- Khoi cong moi 21-25(IN)'!AD138+'[2]PL7- Khoi cong moi 21-25(IN)'!AD153+'[2]PL7- Khoi cong moi 21-25(IN)'!AD167+'[2]PL7- Khoi cong moi 21-25(IN)'!AD168+'[2]PL7- Khoi cong moi 21-25(IN)'!AD169+'[2]PL7- Khoi cong moi 21-25(IN)'!AD185+'[2]PL7- Khoi cong moi 21-25(IN)'!AD214+'[2]PL7- Khoi cong moi 21-25(IN)'!AD224+'[2]PL7- Khoi cong moi 21-25(IN)'!AD234+'[2]PL7- Khoi cong moi 21-25(IN)'!AD252</f>
        <v>0</v>
      </c>
      <c r="I35" s="107">
        <f>'[2]PL7- Khoi cong moi 21-25(IN)'!AH30+'[2]PL7- Khoi cong moi 21-25(IN)'!AH42+'[2]PL7- Khoi cong moi 21-25(IN)'!AH43+'[2]PL7- Khoi cong moi 21-25(IN)'!AH58+'[2]PL7- Khoi cong moi 21-25(IN)'!AH59+'[2]PL7- Khoi cong moi 21-25(IN)'!AH70+'[2]PL7- Khoi cong moi 21-25(IN)'!AH75+'[2]PL7- Khoi cong moi 21-25(IN)'!AH97+'[2]PL7- Khoi cong moi 21-25(IN)'!AH112+'[2]PL7- Khoi cong moi 21-25(IN)'!AH113+'[2]PL7- Khoi cong moi 21-25(IN)'!AH122+'[2]PL7- Khoi cong moi 21-25(IN)'!AH123+'[2]PL7- Khoi cong moi 21-25(IN)'!AH128+'[2]PL7- Khoi cong moi 21-25(IN)'!AH129+'[2]PL7- Khoi cong moi 21-25(IN)'!AH130+'[2]PL7- Khoi cong moi 21-25(IN)'!AH131+'[2]PL7- Khoi cong moi 21-25(IN)'!AH134+'[2]PL7- Khoi cong moi 21-25(IN)'!AH135+'[2]PL7- Khoi cong moi 21-25(IN)'!AH136+'[2]PL7- Khoi cong moi 21-25(IN)'!AH137+'[2]PL7- Khoi cong moi 21-25(IN)'!AH138+'[2]PL7- Khoi cong moi 21-25(IN)'!AH153+'[2]PL7- Khoi cong moi 21-25(IN)'!AH167+'[2]PL7- Khoi cong moi 21-25(IN)'!AH168+'[2]PL7- Khoi cong moi 21-25(IN)'!AH169+'[2]PL7- Khoi cong moi 21-25(IN)'!AH185+'[2]PL7- Khoi cong moi 21-25(IN)'!AH214+'[2]PL7- Khoi cong moi 21-25(IN)'!AH224+'[2]PL7- Khoi cong moi 21-25(IN)'!AH234+'[2]PL7- Khoi cong moi 21-25(IN)'!AH252</f>
        <v>0</v>
      </c>
      <c r="J35" s="107"/>
      <c r="K35" s="127">
        <f t="shared" si="5"/>
        <v>140000</v>
      </c>
      <c r="L35" s="107"/>
      <c r="M35" s="75">
        <f t="shared" si="3"/>
        <v>140000</v>
      </c>
      <c r="N35" s="98"/>
      <c r="O35" s="131"/>
      <c r="P35" s="132"/>
      <c r="Q35" s="128"/>
      <c r="S35" s="54">
        <f t="shared" si="1"/>
        <v>136124</v>
      </c>
      <c r="T35" s="55"/>
      <c r="EU35" s="117"/>
      <c r="EV35" s="130"/>
      <c r="EW35" s="117"/>
      <c r="EX35" s="117"/>
      <c r="EY35" s="117"/>
      <c r="EZ35" s="117"/>
      <c r="FA35" s="117"/>
      <c r="FB35" s="117"/>
    </row>
    <row r="36" spans="1:158" s="118" customFormat="1" ht="15.75" hidden="1" outlineLevel="2">
      <c r="A36" s="112"/>
      <c r="B36" s="113" t="s">
        <v>116</v>
      </c>
      <c r="C36" s="75"/>
      <c r="D36" s="107"/>
      <c r="E36" s="107">
        <v>46112.609626397643</v>
      </c>
      <c r="F36" s="127"/>
      <c r="G36" s="107"/>
      <c r="H36" s="107"/>
      <c r="I36" s="107"/>
      <c r="J36" s="107"/>
      <c r="K36" s="127">
        <f t="shared" si="5"/>
        <v>46112.609626397643</v>
      </c>
      <c r="L36" s="107"/>
      <c r="M36" s="75"/>
      <c r="N36" s="98"/>
      <c r="O36" s="131"/>
      <c r="P36" s="132"/>
      <c r="Q36" s="128"/>
      <c r="S36" s="54"/>
      <c r="T36" s="55"/>
      <c r="EU36" s="117"/>
      <c r="EV36" s="130"/>
      <c r="EW36" s="117"/>
      <c r="EX36" s="117"/>
      <c r="EY36" s="117"/>
      <c r="EZ36" s="117"/>
      <c r="FA36" s="117"/>
      <c r="FB36" s="117"/>
    </row>
    <row r="37" spans="1:158" s="72" customFormat="1" ht="24" customHeight="1" outlineLevel="1">
      <c r="A37" s="133" t="s">
        <v>66</v>
      </c>
      <c r="B37" s="134" t="s">
        <v>67</v>
      </c>
      <c r="C37" s="75">
        <v>602000</v>
      </c>
      <c r="D37" s="75">
        <f t="shared" ref="D37:J37" si="8">D38+D39</f>
        <v>503100.451</v>
      </c>
      <c r="E37" s="75">
        <f t="shared" si="8"/>
        <v>520100</v>
      </c>
      <c r="F37" s="75">
        <f t="shared" si="8"/>
        <v>385100</v>
      </c>
      <c r="G37" s="135">
        <f t="shared" si="8"/>
        <v>78100</v>
      </c>
      <c r="H37" s="135">
        <f t="shared" si="8"/>
        <v>95000</v>
      </c>
      <c r="I37" s="135">
        <f t="shared" si="8"/>
        <v>100000</v>
      </c>
      <c r="J37" s="135">
        <f t="shared" si="8"/>
        <v>112000</v>
      </c>
      <c r="K37" s="75">
        <f t="shared" si="5"/>
        <v>135000</v>
      </c>
      <c r="L37" s="75">
        <v>112000</v>
      </c>
      <c r="M37" s="75">
        <f t="shared" si="3"/>
        <v>23000</v>
      </c>
      <c r="N37" s="136"/>
      <c r="O37" s="137"/>
      <c r="P37" s="62">
        <f>'[2]PB1-DU KIEN NGUON'!S17</f>
        <v>503100</v>
      </c>
      <c r="Q37" s="71" t="e">
        <f>P37-#REF!</f>
        <v>#REF!</v>
      </c>
      <c r="R37" s="71"/>
      <c r="S37" s="54">
        <f t="shared" si="1"/>
        <v>95000.451000000001</v>
      </c>
      <c r="T37" s="55"/>
      <c r="U37" s="71">
        <f>U33-E73-E72-E19</f>
        <v>3669761.4246763997</v>
      </c>
      <c r="EV37" s="63"/>
    </row>
    <row r="38" spans="1:158" s="121" customFormat="1" ht="66.75" customHeight="1" outlineLevel="2">
      <c r="A38" s="103" t="s">
        <v>68</v>
      </c>
      <c r="B38" s="104" t="s">
        <v>69</v>
      </c>
      <c r="C38" s="75"/>
      <c r="D38" s="106">
        <f>'[2]PL9 XSKT in (IN)'!CA13</f>
        <v>225504.94</v>
      </c>
      <c r="E38" s="106">
        <v>241200</v>
      </c>
      <c r="F38" s="96">
        <f t="shared" si="7"/>
        <v>148100</v>
      </c>
      <c r="G38" s="107">
        <f>'[2]PL9 XSKT in (IN)'!CE13</f>
        <v>38100</v>
      </c>
      <c r="H38" s="107">
        <f>'[2]PL9 XSKT in (IN)'!CF13</f>
        <v>40000</v>
      </c>
      <c r="I38" s="107">
        <f>'[2]PL9 XSKT in (IN)'!CG13</f>
        <v>40000</v>
      </c>
      <c r="J38" s="107">
        <v>30000</v>
      </c>
      <c r="K38" s="96">
        <f t="shared" si="5"/>
        <v>93100</v>
      </c>
      <c r="L38" s="106"/>
      <c r="M38" s="75">
        <f t="shared" si="3"/>
        <v>93100</v>
      </c>
      <c r="N38" s="98"/>
      <c r="O38" s="108" t="s">
        <v>70</v>
      </c>
      <c r="P38" s="120"/>
      <c r="S38" s="54">
        <f t="shared" si="1"/>
        <v>14304.940000000002</v>
      </c>
      <c r="T38" s="55"/>
      <c r="EU38" s="123"/>
    </row>
    <row r="39" spans="1:158" s="121" customFormat="1" ht="17.25" customHeight="1" outlineLevel="2">
      <c r="A39" s="103" t="s">
        <v>71</v>
      </c>
      <c r="B39" s="104" t="s">
        <v>72</v>
      </c>
      <c r="C39" s="75"/>
      <c r="D39" s="106">
        <f>D40+D41</f>
        <v>277595.511</v>
      </c>
      <c r="E39" s="106">
        <f>E40+E41</f>
        <v>278900</v>
      </c>
      <c r="F39" s="96">
        <f t="shared" si="7"/>
        <v>237000</v>
      </c>
      <c r="G39" s="107">
        <f>'[2]PL9 XSKT in (IN)'!CE23</f>
        <v>40000</v>
      </c>
      <c r="H39" s="107">
        <f>H40+H41</f>
        <v>55000</v>
      </c>
      <c r="I39" s="107">
        <f>I40+I41</f>
        <v>60000</v>
      </c>
      <c r="J39" s="107">
        <f>J40+J41</f>
        <v>82000</v>
      </c>
      <c r="K39" s="96">
        <f t="shared" si="5"/>
        <v>41900</v>
      </c>
      <c r="L39" s="106"/>
      <c r="M39" s="75">
        <f t="shared" si="3"/>
        <v>41900</v>
      </c>
      <c r="N39" s="78"/>
      <c r="O39" s="108"/>
      <c r="P39" s="120"/>
      <c r="S39" s="54">
        <f t="shared" si="1"/>
        <v>80695.510999999999</v>
      </c>
      <c r="T39" s="55"/>
      <c r="EU39" s="123"/>
    </row>
    <row r="40" spans="1:158" s="121" customFormat="1" ht="17.25" customHeight="1" outlineLevel="2">
      <c r="A40" s="138" t="s">
        <v>53</v>
      </c>
      <c r="B40" s="104" t="s">
        <v>73</v>
      </c>
      <c r="C40" s="75"/>
      <c r="D40" s="106">
        <f>'[2]PL9 XSKT in (IN)'!CA23</f>
        <v>45195.510999999999</v>
      </c>
      <c r="E40" s="106">
        <v>45195.510999999999</v>
      </c>
      <c r="F40" s="96">
        <f t="shared" si="7"/>
        <v>45195.510999999999</v>
      </c>
      <c r="G40" s="107">
        <f>'[2]PL9 XSKT in (IN)'!CE23</f>
        <v>40000</v>
      </c>
      <c r="H40" s="107">
        <f>'[2]PL9 XSKT in (IN)'!CF23</f>
        <v>5195.5110000000004</v>
      </c>
      <c r="I40" s="107">
        <f>'[2]PL9 XSKT in (IN)'!CG23</f>
        <v>0</v>
      </c>
      <c r="J40" s="107"/>
      <c r="K40" s="96">
        <f t="shared" si="5"/>
        <v>0</v>
      </c>
      <c r="L40" s="139"/>
      <c r="M40" s="75">
        <f t="shared" si="3"/>
        <v>0</v>
      </c>
      <c r="N40" s="98"/>
      <c r="O40" s="108"/>
      <c r="P40" s="120"/>
      <c r="Q40" s="140"/>
      <c r="R40" s="123"/>
      <c r="S40" s="54">
        <f t="shared" si="1"/>
        <v>-1.8189894035458565E-12</v>
      </c>
      <c r="T40" s="55"/>
    </row>
    <row r="41" spans="1:158" s="121" customFormat="1" ht="15.75" outlineLevel="2">
      <c r="A41" s="138" t="s">
        <v>53</v>
      </c>
      <c r="B41" s="104" t="s">
        <v>74</v>
      </c>
      <c r="C41" s="75"/>
      <c r="D41" s="106">
        <f>D42+D43</f>
        <v>232400</v>
      </c>
      <c r="E41" s="106">
        <v>233704.489</v>
      </c>
      <c r="F41" s="96">
        <f t="shared" si="7"/>
        <v>191804.489</v>
      </c>
      <c r="G41" s="107">
        <f>G42+G43</f>
        <v>0</v>
      </c>
      <c r="H41" s="107">
        <f>H42+H43</f>
        <v>49804.489000000001</v>
      </c>
      <c r="I41" s="107">
        <f>I42+I43</f>
        <v>60000</v>
      </c>
      <c r="J41" s="107">
        <f>J42+J43</f>
        <v>82000</v>
      </c>
      <c r="K41" s="96">
        <f t="shared" si="5"/>
        <v>41900</v>
      </c>
      <c r="L41" s="106"/>
      <c r="M41" s="75">
        <f t="shared" si="3"/>
        <v>41900</v>
      </c>
      <c r="N41" s="78"/>
      <c r="O41" s="108"/>
      <c r="P41" s="140"/>
      <c r="R41" s="140"/>
      <c r="S41" s="54">
        <f t="shared" si="1"/>
        <v>80695.510999999999</v>
      </c>
      <c r="T41" s="55"/>
    </row>
    <row r="42" spans="1:158" s="121" customFormat="1" ht="15.75" outlineLevel="2">
      <c r="A42" s="103"/>
      <c r="B42" s="113" t="s">
        <v>64</v>
      </c>
      <c r="C42" s="75"/>
      <c r="D42" s="106">
        <f>'[2]PL9 XSKT in (IN)'!CA30</f>
        <v>203600</v>
      </c>
      <c r="E42" s="106">
        <v>198404.489</v>
      </c>
      <c r="F42" s="96">
        <f t="shared" si="7"/>
        <v>179404.489</v>
      </c>
      <c r="G42" s="107">
        <f>'[2]PL9 XSKT in (IN)'!CE29</f>
        <v>0</v>
      </c>
      <c r="H42" s="107">
        <f>'[2]PL9 XSKT in (IN)'!CF29</f>
        <v>49804.489000000001</v>
      </c>
      <c r="I42" s="107">
        <f>'[2]PL9 XSKT in (IN)'!CG29</f>
        <v>60000</v>
      </c>
      <c r="J42" s="107">
        <v>69600</v>
      </c>
      <c r="K42" s="96">
        <f t="shared" si="5"/>
        <v>19000</v>
      </c>
      <c r="L42" s="106"/>
      <c r="M42" s="75">
        <f t="shared" si="3"/>
        <v>19000</v>
      </c>
      <c r="N42" s="98"/>
      <c r="O42" s="108"/>
      <c r="P42" s="140"/>
      <c r="R42" s="140"/>
      <c r="S42" s="54">
        <f t="shared" si="1"/>
        <v>74795.510999999999</v>
      </c>
      <c r="T42" s="55"/>
    </row>
    <row r="43" spans="1:158" s="121" customFormat="1" ht="19.5" customHeight="1" outlineLevel="2">
      <c r="A43" s="103"/>
      <c r="B43" s="113" t="s">
        <v>75</v>
      </c>
      <c r="C43" s="75"/>
      <c r="D43" s="106">
        <f>'[2]PL9 XSKT in (IN)'!CA50</f>
        <v>28800</v>
      </c>
      <c r="E43" s="106">
        <v>35300</v>
      </c>
      <c r="F43" s="96">
        <f t="shared" si="7"/>
        <v>12400</v>
      </c>
      <c r="G43" s="107">
        <f>'[2]PL9 XSKT in (IN)'!CE50</f>
        <v>0</v>
      </c>
      <c r="H43" s="107">
        <f>'[2]PL9 XSKT in (IN)'!CF50</f>
        <v>0</v>
      </c>
      <c r="I43" s="107">
        <f>'[2]PL9 XSKT in (IN)'!CG50</f>
        <v>0</v>
      </c>
      <c r="J43" s="107">
        <v>12400</v>
      </c>
      <c r="K43" s="96">
        <f t="shared" si="5"/>
        <v>22900</v>
      </c>
      <c r="L43" s="106"/>
      <c r="M43" s="75">
        <f t="shared" si="3"/>
        <v>22900</v>
      </c>
      <c r="N43" s="98"/>
      <c r="O43" s="108" t="s">
        <v>76</v>
      </c>
      <c r="P43" s="140"/>
      <c r="R43" s="140"/>
      <c r="S43" s="54">
        <f t="shared" si="1"/>
        <v>5900</v>
      </c>
      <c r="T43" s="55"/>
    </row>
    <row r="44" spans="1:158" s="72" customFormat="1" ht="31.5" outlineLevel="1">
      <c r="A44" s="133" t="s">
        <v>77</v>
      </c>
      <c r="B44" s="134" t="s">
        <v>78</v>
      </c>
      <c r="C44" s="75">
        <v>200000</v>
      </c>
      <c r="D44" s="75">
        <f>SUM(D45:D46)</f>
        <v>218645</v>
      </c>
      <c r="E44" s="75">
        <f>SUM(E45:E46)</f>
        <v>254631</v>
      </c>
      <c r="F44" s="75">
        <f>G44+H44+I44+J44</f>
        <v>214631</v>
      </c>
      <c r="G44" s="135">
        <f>SUM(G45:G46)</f>
        <v>0</v>
      </c>
      <c r="H44" s="135">
        <f>SUM(H45:H46)</f>
        <v>84631</v>
      </c>
      <c r="I44" s="135">
        <v>100000</v>
      </c>
      <c r="J44" s="135">
        <v>30000</v>
      </c>
      <c r="K44" s="75">
        <f t="shared" si="5"/>
        <v>40000</v>
      </c>
      <c r="L44" s="75">
        <v>0</v>
      </c>
      <c r="M44" s="75">
        <f>K44-L44</f>
        <v>40000</v>
      </c>
      <c r="N44" s="136"/>
      <c r="O44" s="141"/>
      <c r="P44" s="62"/>
      <c r="Q44" s="71"/>
      <c r="S44" s="54">
        <f t="shared" si="1"/>
        <v>-5986</v>
      </c>
      <c r="T44" s="55"/>
      <c r="EU44" s="72">
        <v>130000</v>
      </c>
      <c r="EV44" s="71">
        <f>I44-EU44</f>
        <v>-30000</v>
      </c>
    </row>
    <row r="45" spans="1:158" s="121" customFormat="1" ht="18" customHeight="1" outlineLevel="2">
      <c r="A45" s="103" t="s">
        <v>79</v>
      </c>
      <c r="B45" s="104" t="s">
        <v>74</v>
      </c>
      <c r="C45" s="75"/>
      <c r="D45" s="106">
        <f>'[2]PL10 sắp xếp nha dat (IN)'!S14</f>
        <v>218300</v>
      </c>
      <c r="E45" s="106">
        <v>254331</v>
      </c>
      <c r="F45" s="106">
        <f>SUM(G45:I45)</f>
        <v>214331</v>
      </c>
      <c r="G45" s="107">
        <f>'[2]PL10 sắp xếp nha dat (IN)'!V14</f>
        <v>0</v>
      </c>
      <c r="H45" s="107">
        <f>'[2]PL10 sắp xếp nha dat (IN)'!W14</f>
        <v>84331</v>
      </c>
      <c r="I45" s="107">
        <f>'[2]PL10 sắp xếp nha dat (IN)'!X14</f>
        <v>130000</v>
      </c>
      <c r="J45" s="107"/>
      <c r="K45" s="106">
        <f t="shared" si="5"/>
        <v>40000</v>
      </c>
      <c r="L45" s="106"/>
      <c r="M45" s="75">
        <f t="shared" si="3"/>
        <v>40000</v>
      </c>
      <c r="N45" s="98"/>
      <c r="O45" s="108" t="s">
        <v>80</v>
      </c>
      <c r="P45" s="140"/>
      <c r="R45" s="140"/>
      <c r="S45" s="54">
        <f t="shared" si="1"/>
        <v>-36031</v>
      </c>
      <c r="T45" s="55"/>
    </row>
    <row r="46" spans="1:158" s="53" customFormat="1" ht="15.75" outlineLevel="2">
      <c r="A46" s="103" t="s">
        <v>81</v>
      </c>
      <c r="B46" s="104" t="s">
        <v>82</v>
      </c>
      <c r="C46" s="75"/>
      <c r="D46" s="106">
        <f>'[2]PL10 sắp xếp nha dat (IN)'!S42</f>
        <v>345</v>
      </c>
      <c r="E46" s="106">
        <v>300</v>
      </c>
      <c r="F46" s="96">
        <f>SUM(G46:I46)</f>
        <v>300</v>
      </c>
      <c r="G46" s="107">
        <f>'[2]PL10 sắp xếp nha dat (IN)'!V42</f>
        <v>0</v>
      </c>
      <c r="H46" s="107">
        <f>'[2]PL10 sắp xếp nha dat (IN)'!W42</f>
        <v>300</v>
      </c>
      <c r="I46" s="107">
        <f>'[2]PL10 sắp xếp nha dat (IN)'!X42</f>
        <v>0</v>
      </c>
      <c r="J46" s="107"/>
      <c r="K46" s="96">
        <f t="shared" si="5"/>
        <v>0</v>
      </c>
      <c r="L46" s="142"/>
      <c r="M46" s="75">
        <f t="shared" si="3"/>
        <v>0</v>
      </c>
      <c r="N46" s="98"/>
      <c r="O46" s="79"/>
      <c r="P46" s="871"/>
      <c r="Q46" s="872"/>
      <c r="R46" s="143"/>
      <c r="S46" s="54">
        <f t="shared" si="1"/>
        <v>45</v>
      </c>
      <c r="T46" s="55"/>
    </row>
    <row r="47" spans="1:158" s="72" customFormat="1" ht="18.75" customHeight="1" outlineLevel="1">
      <c r="A47" s="133" t="s">
        <v>83</v>
      </c>
      <c r="B47" s="134" t="s">
        <v>84</v>
      </c>
      <c r="C47" s="75">
        <v>13074049</v>
      </c>
      <c r="D47" s="75">
        <f t="shared" ref="D47:J47" si="9">D48+D49</f>
        <v>12373069.499999998</v>
      </c>
      <c r="E47" s="75">
        <f>E48+E49</f>
        <v>9773335.4499999993</v>
      </c>
      <c r="F47" s="75">
        <f t="shared" si="9"/>
        <v>7946863.8169999998</v>
      </c>
      <c r="G47" s="135">
        <f t="shared" si="9"/>
        <v>864771</v>
      </c>
      <c r="H47" s="135">
        <f t="shared" si="9"/>
        <v>2183092.8169999998</v>
      </c>
      <c r="I47" s="135">
        <f t="shared" si="9"/>
        <v>2403000</v>
      </c>
      <c r="J47" s="135">
        <f t="shared" si="9"/>
        <v>2496000</v>
      </c>
      <c r="K47" s="75">
        <f t="shared" si="5"/>
        <v>1826471.6329999994</v>
      </c>
      <c r="L47" s="75">
        <v>2600000</v>
      </c>
      <c r="M47" s="75">
        <f t="shared" si="3"/>
        <v>-773528.36700000055</v>
      </c>
      <c r="N47" s="136"/>
      <c r="O47" s="137"/>
      <c r="P47" s="84">
        <f>'[2]PB1-DU KIEN NGUON'!S25</f>
        <v>12373070.367000001</v>
      </c>
      <c r="Q47" s="144" t="e">
        <f>P47-#REF!</f>
        <v>#REF!</v>
      </c>
      <c r="S47" s="54">
        <f t="shared" si="1"/>
        <v>5095734.0499999989</v>
      </c>
      <c r="T47" s="55"/>
      <c r="U47" s="71"/>
      <c r="EU47" s="72" t="s">
        <v>85</v>
      </c>
      <c r="EV47" s="71" t="s">
        <v>86</v>
      </c>
    </row>
    <row r="48" spans="1:158" s="72" customFormat="1" ht="15.75" outlineLevel="2">
      <c r="A48" s="73" t="s">
        <v>87</v>
      </c>
      <c r="B48" s="74" t="s">
        <v>88</v>
      </c>
      <c r="C48" s="61"/>
      <c r="D48" s="76">
        <f>'[2]PL8 Thu SDĐ (IN)'!BG12</f>
        <v>3500000</v>
      </c>
      <c r="E48" s="76">
        <v>3205581</v>
      </c>
      <c r="F48" s="76">
        <f>G48+H48+I48+J48</f>
        <v>2675581</v>
      </c>
      <c r="G48" s="77">
        <f>'[2]PL8 Thu SDĐ (IN)'!BK12</f>
        <v>591537</v>
      </c>
      <c r="H48" s="77">
        <f>'[2]PL8 Thu SDĐ (IN)'!BM12</f>
        <v>699044</v>
      </c>
      <c r="I48" s="77">
        <f>'[2]PL8 Thu SDĐ (IN)'!BO12</f>
        <v>855000</v>
      </c>
      <c r="J48" s="77">
        <v>530000</v>
      </c>
      <c r="K48" s="76">
        <f t="shared" si="5"/>
        <v>530000</v>
      </c>
      <c r="L48" s="76"/>
      <c r="M48" s="75">
        <f t="shared" si="3"/>
        <v>530000</v>
      </c>
      <c r="N48" s="78"/>
      <c r="O48" s="145"/>
      <c r="P48" s="146">
        <f>'[2]PB1-DU KIEN NGUON'!S26</f>
        <v>3500000</v>
      </c>
      <c r="Q48" s="144" t="e">
        <f>P48-#REF!</f>
        <v>#REF!</v>
      </c>
      <c r="S48" s="54">
        <f t="shared" si="1"/>
        <v>824419</v>
      </c>
      <c r="T48" s="55"/>
      <c r="U48" s="71"/>
      <c r="EU48" s="147">
        <v>741400</v>
      </c>
      <c r="EV48" s="72">
        <v>734500</v>
      </c>
    </row>
    <row r="49" spans="1:152" s="72" customFormat="1" ht="15.75" outlineLevel="2">
      <c r="A49" s="73" t="s">
        <v>89</v>
      </c>
      <c r="B49" s="74" t="s">
        <v>90</v>
      </c>
      <c r="C49" s="61"/>
      <c r="D49" s="76">
        <f>D50+D51+D52+D53-1</f>
        <v>8873069.4999999981</v>
      </c>
      <c r="E49" s="76">
        <f>E50+E51+E52+E53</f>
        <v>6567754.4500000002</v>
      </c>
      <c r="F49" s="76">
        <f>G49+H49+I49+J49</f>
        <v>5271282.8169999998</v>
      </c>
      <c r="G49" s="77">
        <f>G50+G51+G52+G53</f>
        <v>273234</v>
      </c>
      <c r="H49" s="77">
        <f>H50+H51+H52+H53</f>
        <v>1484048.8169999998</v>
      </c>
      <c r="I49" s="77">
        <f>I50+I51+I52+I53</f>
        <v>1548000</v>
      </c>
      <c r="J49" s="77">
        <f>J50+J51+J52+J53</f>
        <v>1965999.9999999998</v>
      </c>
      <c r="K49" s="76">
        <f t="shared" si="5"/>
        <v>1296471.6330000004</v>
      </c>
      <c r="L49" s="76"/>
      <c r="M49" s="75">
        <f t="shared" si="3"/>
        <v>1296471.6330000004</v>
      </c>
      <c r="N49" s="78"/>
      <c r="O49" s="148"/>
      <c r="P49" s="146">
        <f>'[2]PB1-DU KIEN NGUON'!S27</f>
        <v>8873070.3670000006</v>
      </c>
      <c r="Q49" s="144" t="e">
        <f>P49-#REF!</f>
        <v>#REF!</v>
      </c>
      <c r="R49" s="71"/>
      <c r="S49" s="149">
        <v>8873070.4999999981</v>
      </c>
      <c r="T49" s="55"/>
      <c r="U49" s="72">
        <v>6567754.4649999868</v>
      </c>
    </row>
    <row r="50" spans="1:152" s="53" customFormat="1" ht="33.75" customHeight="1" outlineLevel="2">
      <c r="A50" s="103">
        <v>1</v>
      </c>
      <c r="B50" s="104" t="s">
        <v>91</v>
      </c>
      <c r="C50" s="105"/>
      <c r="D50" s="106">
        <f>'[2]PL8 Thu SDĐ (IN)'!BG27</f>
        <v>0</v>
      </c>
      <c r="E50" s="106"/>
      <c r="F50" s="106"/>
      <c r="G50" s="107">
        <f>'[2]PL8 Thu SDĐ (IN)'!BK27</f>
        <v>0</v>
      </c>
      <c r="H50" s="107">
        <f>'[2]PL8 Thu SDĐ (IN)'!BM27</f>
        <v>0</v>
      </c>
      <c r="I50" s="107">
        <f>'[2]PL8 Thu SDĐ (IN)'!BO27</f>
        <v>0</v>
      </c>
      <c r="J50" s="107"/>
      <c r="K50" s="106">
        <f t="shared" si="5"/>
        <v>0</v>
      </c>
      <c r="L50" s="106"/>
      <c r="M50" s="150">
        <f t="shared" si="3"/>
        <v>0</v>
      </c>
      <c r="N50" s="78"/>
      <c r="O50" s="108" t="s">
        <v>92</v>
      </c>
      <c r="P50" s="56"/>
      <c r="Q50" s="63"/>
      <c r="S50" s="151">
        <v>0</v>
      </c>
      <c r="T50" s="55"/>
      <c r="EU50" s="59"/>
    </row>
    <row r="51" spans="1:152" s="53" customFormat="1" ht="19.899999999999999" customHeight="1" outlineLevel="2">
      <c r="A51" s="103">
        <v>2</v>
      </c>
      <c r="B51" s="104" t="s">
        <v>93</v>
      </c>
      <c r="C51" s="105"/>
      <c r="D51" s="106">
        <f>'[2]PL8 Thu SDĐ (IN)'!BG28</f>
        <v>751964.13299999991</v>
      </c>
      <c r="E51" s="106">
        <v>751963.95</v>
      </c>
      <c r="F51" s="106">
        <f>G51+H51+I51+J51</f>
        <v>751963.95</v>
      </c>
      <c r="G51" s="107"/>
      <c r="H51" s="115">
        <v>751963.95</v>
      </c>
      <c r="I51" s="107"/>
      <c r="J51" s="107"/>
      <c r="K51" s="106">
        <f t="shared" si="5"/>
        <v>0</v>
      </c>
      <c r="L51" s="152"/>
      <c r="M51" s="150">
        <f t="shared" si="3"/>
        <v>0</v>
      </c>
      <c r="N51" s="78"/>
      <c r="O51" s="108" t="s">
        <v>94</v>
      </c>
      <c r="P51" s="85"/>
      <c r="Q51" s="63"/>
      <c r="S51" s="151">
        <v>751964.13299999991</v>
      </c>
      <c r="T51" s="55"/>
    </row>
    <row r="52" spans="1:152" s="53" customFormat="1" ht="15.75" outlineLevel="2">
      <c r="A52" s="93">
        <v>3</v>
      </c>
      <c r="B52" s="94" t="s">
        <v>95</v>
      </c>
      <c r="C52" s="95"/>
      <c r="D52" s="96">
        <f>'[2]PL8 Thu SDĐ (IN)'!BG29</f>
        <v>9589</v>
      </c>
      <c r="E52" s="96">
        <v>9589</v>
      </c>
      <c r="F52" s="106">
        <f>G52+H52+I52+J52</f>
        <v>9589</v>
      </c>
      <c r="G52" s="97">
        <f>'[2]PL8 Thu SDĐ (IN)'!BK29</f>
        <v>0</v>
      </c>
      <c r="H52" s="97">
        <f>'[2]PL8 Thu SDĐ (IN)'!BM29</f>
        <v>2546</v>
      </c>
      <c r="I52" s="107">
        <f>'[2]PL8 Thu SDĐ (IN)'!BO29</f>
        <v>7043</v>
      </c>
      <c r="J52" s="107"/>
      <c r="K52" s="106">
        <f t="shared" si="5"/>
        <v>0</v>
      </c>
      <c r="L52" s="153"/>
      <c r="M52" s="150">
        <f t="shared" si="3"/>
        <v>0</v>
      </c>
      <c r="N52" s="98"/>
      <c r="O52" s="154"/>
      <c r="P52" s="85"/>
      <c r="S52" s="151">
        <v>9589</v>
      </c>
      <c r="T52" s="55"/>
    </row>
    <row r="53" spans="1:152" s="53" customFormat="1" ht="15.75" outlineLevel="2">
      <c r="A53" s="93">
        <v>4</v>
      </c>
      <c r="B53" s="94" t="s">
        <v>96</v>
      </c>
      <c r="C53" s="95"/>
      <c r="D53" s="96">
        <f>D54+D57</f>
        <v>8111517.3669999987</v>
      </c>
      <c r="E53" s="96">
        <v>5806201.5</v>
      </c>
      <c r="F53" s="106">
        <f t="shared" ref="F53:F61" si="10">G53+H53+I53+J53</f>
        <v>4509729.8669999996</v>
      </c>
      <c r="G53" s="97">
        <f>G54+G57</f>
        <v>273234</v>
      </c>
      <c r="H53" s="97">
        <f>H54+H57</f>
        <v>729538.86699999997</v>
      </c>
      <c r="I53" s="97">
        <f>I54+I57</f>
        <v>1540957</v>
      </c>
      <c r="J53" s="97">
        <f>J54+J57</f>
        <v>1965999.9999999998</v>
      </c>
      <c r="K53" s="106">
        <f t="shared" si="5"/>
        <v>1296471.6330000004</v>
      </c>
      <c r="L53" s="96"/>
      <c r="M53" s="150">
        <f t="shared" si="3"/>
        <v>1296471.6330000004</v>
      </c>
      <c r="N53" s="98"/>
      <c r="O53" s="154"/>
      <c r="P53" s="63"/>
      <c r="S53" s="151">
        <v>8111517.3669999987</v>
      </c>
      <c r="T53" s="55"/>
    </row>
    <row r="54" spans="1:152" s="121" customFormat="1" ht="15.75" outlineLevel="2">
      <c r="A54" s="138" t="s">
        <v>53</v>
      </c>
      <c r="B54" s="104" t="s">
        <v>117</v>
      </c>
      <c r="C54" s="105"/>
      <c r="D54" s="106">
        <f>D55+D56</f>
        <v>1911057</v>
      </c>
      <c r="E54" s="106">
        <v>1649611.5</v>
      </c>
      <c r="F54" s="106">
        <f t="shared" si="10"/>
        <v>1304529.8669999999</v>
      </c>
      <c r="G54" s="97">
        <f>G55+G56</f>
        <v>246974</v>
      </c>
      <c r="H54" s="97">
        <f>H55+H56</f>
        <v>422538.86699999997</v>
      </c>
      <c r="I54" s="97">
        <f>I55+I56</f>
        <v>318017</v>
      </c>
      <c r="J54" s="97">
        <v>316999.99999999983</v>
      </c>
      <c r="K54" s="106">
        <f t="shared" si="5"/>
        <v>345081.63300000015</v>
      </c>
      <c r="L54" s="106"/>
      <c r="M54" s="150">
        <f t="shared" si="3"/>
        <v>345081.63300000015</v>
      </c>
      <c r="N54" s="98"/>
      <c r="O54" s="79"/>
      <c r="P54" s="56"/>
      <c r="S54" s="151">
        <v>1911057</v>
      </c>
      <c r="T54" s="55"/>
      <c r="U54" s="206">
        <f>U57+E65</f>
        <v>24134902.25</v>
      </c>
      <c r="EV54" s="123"/>
    </row>
    <row r="55" spans="1:152" s="157" customFormat="1" ht="31.5" hidden="1" outlineLevel="3">
      <c r="A55" s="155"/>
      <c r="B55" s="113" t="s">
        <v>97</v>
      </c>
      <c r="C55" s="114"/>
      <c r="D55" s="115">
        <f>'[2]PL8 Thu SDĐ (IN)'!BG34</f>
        <v>1056257</v>
      </c>
      <c r="E55" s="115"/>
      <c r="F55" s="115">
        <f t="shared" si="10"/>
        <v>673195.86699999997</v>
      </c>
      <c r="G55" s="107">
        <f>'[2]PL8 Thu SDĐ (IN)'!BK34</f>
        <v>196040</v>
      </c>
      <c r="H55" s="107">
        <f>'[2]PL8 Thu SDĐ (IN)'!BM34</f>
        <v>259638.86699999997</v>
      </c>
      <c r="I55" s="107">
        <f>'[2]PL8 Thu SDĐ (IN)'!BO34</f>
        <v>217517</v>
      </c>
      <c r="J55" s="107"/>
      <c r="K55" s="115">
        <f t="shared" si="5"/>
        <v>-673195.86699999997</v>
      </c>
      <c r="L55" s="115"/>
      <c r="M55" s="75">
        <f t="shared" si="3"/>
        <v>-673195.86699999997</v>
      </c>
      <c r="N55" s="98"/>
      <c r="O55" s="108" t="s">
        <v>62</v>
      </c>
      <c r="P55" s="156"/>
      <c r="S55" s="149">
        <v>1056257</v>
      </c>
      <c r="T55" s="55"/>
      <c r="EU55" s="158"/>
    </row>
    <row r="56" spans="1:152" s="157" customFormat="1" ht="31.5" hidden="1" outlineLevel="3">
      <c r="A56" s="155"/>
      <c r="B56" s="113" t="s">
        <v>98</v>
      </c>
      <c r="C56" s="114"/>
      <c r="D56" s="115">
        <f>'[2]PL8 Thu SDĐ (IN)'!BG35</f>
        <v>854800</v>
      </c>
      <c r="E56" s="115"/>
      <c r="F56" s="115">
        <f t="shared" si="10"/>
        <v>314334</v>
      </c>
      <c r="G56" s="107">
        <f>'[2]PL8 Thu SDĐ (IN)'!BK35</f>
        <v>50934</v>
      </c>
      <c r="H56" s="107">
        <f>'[2]PL8 Thu SDĐ (IN)'!BM35</f>
        <v>162900</v>
      </c>
      <c r="I56" s="107">
        <f>'[2]PL8 Thu SDĐ (IN)'!BO35</f>
        <v>100500</v>
      </c>
      <c r="J56" s="107"/>
      <c r="K56" s="115">
        <f t="shared" si="5"/>
        <v>-314334</v>
      </c>
      <c r="L56" s="115"/>
      <c r="M56" s="75">
        <f t="shared" si="3"/>
        <v>-314334</v>
      </c>
      <c r="N56" s="98"/>
      <c r="O56" s="108" t="s">
        <v>62</v>
      </c>
      <c r="P56" s="156"/>
      <c r="S56" s="149">
        <v>854800</v>
      </c>
      <c r="T56" s="55"/>
      <c r="EU56" s="158"/>
    </row>
    <row r="57" spans="1:152" s="121" customFormat="1" ht="18.75" outlineLevel="2" collapsed="1">
      <c r="A57" s="138" t="s">
        <v>53</v>
      </c>
      <c r="B57" s="104" t="s">
        <v>118</v>
      </c>
      <c r="C57" s="105"/>
      <c r="D57" s="106">
        <f>D58+D61</f>
        <v>6200460.3669999987</v>
      </c>
      <c r="E57" s="106">
        <v>4156589.5</v>
      </c>
      <c r="F57" s="106">
        <f t="shared" si="10"/>
        <v>3205200</v>
      </c>
      <c r="G57" s="97">
        <f>G58+G61</f>
        <v>26260</v>
      </c>
      <c r="H57" s="97">
        <f>H58+H61</f>
        <v>307000</v>
      </c>
      <c r="I57" s="97">
        <f>I58+I61</f>
        <v>1222940</v>
      </c>
      <c r="J57" s="97">
        <f>J58+J61</f>
        <v>1649000</v>
      </c>
      <c r="K57" s="106">
        <f t="shared" si="5"/>
        <v>951389.5</v>
      </c>
      <c r="L57" s="106"/>
      <c r="M57" s="150">
        <f t="shared" si="3"/>
        <v>951389.5</v>
      </c>
      <c r="N57" s="98"/>
      <c r="O57" s="79"/>
      <c r="P57" s="159"/>
      <c r="S57" s="151">
        <v>6200460.3669999987</v>
      </c>
      <c r="T57" s="55"/>
      <c r="U57" s="205">
        <v>15214200</v>
      </c>
      <c r="EV57" s="123"/>
    </row>
    <row r="58" spans="1:152" s="72" customFormat="1" ht="15.75" hidden="1" outlineLevel="2">
      <c r="A58" s="73"/>
      <c r="B58" s="87" t="s">
        <v>64</v>
      </c>
      <c r="C58" s="61"/>
      <c r="D58" s="76">
        <f>D59+D60</f>
        <v>4974500</v>
      </c>
      <c r="E58" s="76"/>
      <c r="F58" s="76">
        <f t="shared" si="10"/>
        <v>2829200</v>
      </c>
      <c r="G58" s="160">
        <f>G59+G60</f>
        <v>26260</v>
      </c>
      <c r="H58" s="160">
        <f>H59+H60</f>
        <v>307000</v>
      </c>
      <c r="I58" s="160">
        <f>I59+I60</f>
        <v>1222940</v>
      </c>
      <c r="J58" s="160">
        <v>1273000</v>
      </c>
      <c r="K58" s="76">
        <f t="shared" si="5"/>
        <v>-2829200</v>
      </c>
      <c r="L58" s="76"/>
      <c r="M58" s="75">
        <f t="shared" si="3"/>
        <v>-2829200</v>
      </c>
      <c r="N58" s="78"/>
      <c r="O58" s="161"/>
      <c r="P58" s="162"/>
      <c r="S58" s="149">
        <v>4974500</v>
      </c>
      <c r="T58" s="55"/>
      <c r="EU58" s="163"/>
    </row>
    <row r="59" spans="1:152" s="53" customFormat="1" ht="31.5" hidden="1" outlineLevel="2">
      <c r="A59" s="103"/>
      <c r="B59" s="113" t="s">
        <v>97</v>
      </c>
      <c r="C59" s="105"/>
      <c r="D59" s="106">
        <f>'[2]PL8 Thu SDĐ (IN)'!BG37</f>
        <v>2974500.0000000005</v>
      </c>
      <c r="E59" s="106"/>
      <c r="F59" s="115">
        <f t="shared" si="10"/>
        <v>1017310</v>
      </c>
      <c r="G59" s="107">
        <f>'[2]PL8 Thu SDĐ (IN)'!BK37</f>
        <v>26260</v>
      </c>
      <c r="H59" s="107">
        <f>'[2]PL8 Thu SDĐ (IN)'!BM37</f>
        <v>307000</v>
      </c>
      <c r="I59" s="107">
        <f>'[2]PL8 Thu SDĐ (IN)'!BO37</f>
        <v>684050</v>
      </c>
      <c r="J59" s="107"/>
      <c r="K59" s="115">
        <f t="shared" si="5"/>
        <v>-1017310</v>
      </c>
      <c r="L59" s="115"/>
      <c r="M59" s="75">
        <f t="shared" si="3"/>
        <v>-1017310</v>
      </c>
      <c r="N59" s="98"/>
      <c r="O59" s="108" t="s">
        <v>62</v>
      </c>
      <c r="P59" s="85"/>
      <c r="S59" s="149">
        <v>2974500.0000000005</v>
      </c>
      <c r="T59" s="55"/>
      <c r="EU59" s="59"/>
    </row>
    <row r="60" spans="1:152" s="53" customFormat="1" ht="31.5" hidden="1" outlineLevel="2">
      <c r="A60" s="103"/>
      <c r="B60" s="113" t="s">
        <v>98</v>
      </c>
      <c r="C60" s="105"/>
      <c r="D60" s="106">
        <f>'[2]PL8 Thu SDĐ (IN)'!BG38</f>
        <v>2000000</v>
      </c>
      <c r="E60" s="106"/>
      <c r="F60" s="115">
        <f t="shared" si="10"/>
        <v>538890</v>
      </c>
      <c r="G60" s="107">
        <f>'[2]PL8 Thu SDĐ (IN)'!BK38</f>
        <v>0</v>
      </c>
      <c r="H60" s="107">
        <f>'[2]PL8 Thu SDĐ (IN)'!BM38</f>
        <v>0</v>
      </c>
      <c r="I60" s="107">
        <f>'[2]PL8 Thu SDĐ (IN)'!BO38</f>
        <v>538890</v>
      </c>
      <c r="J60" s="107"/>
      <c r="K60" s="115">
        <f t="shared" si="5"/>
        <v>-538890</v>
      </c>
      <c r="L60" s="115"/>
      <c r="M60" s="75">
        <f t="shared" si="3"/>
        <v>-538890</v>
      </c>
      <c r="N60" s="98"/>
      <c r="O60" s="108" t="s">
        <v>62</v>
      </c>
      <c r="P60" s="85"/>
      <c r="S60" s="149">
        <v>2000000</v>
      </c>
      <c r="T60" s="55"/>
      <c r="EU60" s="59"/>
    </row>
    <row r="61" spans="1:152" s="72" customFormat="1" ht="15.75" hidden="1" outlineLevel="2">
      <c r="A61" s="73"/>
      <c r="B61" s="87" t="s">
        <v>65</v>
      </c>
      <c r="C61" s="61"/>
      <c r="D61" s="76">
        <f>'[2]PL8 Thu SDĐ (IN)'!BG39</f>
        <v>1225960.3669999982</v>
      </c>
      <c r="E61" s="76"/>
      <c r="F61" s="76">
        <f t="shared" si="10"/>
        <v>376000</v>
      </c>
      <c r="G61" s="77">
        <f>G62+G63</f>
        <v>0</v>
      </c>
      <c r="H61" s="77">
        <f>H62+H63</f>
        <v>0</v>
      </c>
      <c r="I61" s="77">
        <f>I62+I63</f>
        <v>0</v>
      </c>
      <c r="J61" s="77">
        <v>376000</v>
      </c>
      <c r="K61" s="76">
        <f t="shared" si="5"/>
        <v>-376000</v>
      </c>
      <c r="L61" s="76"/>
      <c r="M61" s="75">
        <f t="shared" si="3"/>
        <v>-376000</v>
      </c>
      <c r="N61" s="78"/>
      <c r="O61" s="161"/>
      <c r="P61" s="162"/>
      <c r="S61" s="149">
        <v>1225960.3669999982</v>
      </c>
      <c r="T61" s="55"/>
      <c r="EU61" s="163"/>
    </row>
    <row r="62" spans="1:152" s="53" customFormat="1" ht="15.75" hidden="1" outlineLevel="2" collapsed="1">
      <c r="A62" s="103"/>
      <c r="B62" s="113" t="s">
        <v>97</v>
      </c>
      <c r="C62" s="105"/>
      <c r="D62" s="115"/>
      <c r="E62" s="115"/>
      <c r="F62" s="76"/>
      <c r="G62" s="107"/>
      <c r="H62" s="107"/>
      <c r="I62" s="107"/>
      <c r="J62" s="77"/>
      <c r="K62" s="76">
        <f t="shared" si="5"/>
        <v>0</v>
      </c>
      <c r="L62" s="76"/>
      <c r="M62" s="75">
        <f t="shared" si="3"/>
        <v>0</v>
      </c>
      <c r="N62" s="98"/>
      <c r="O62" s="164"/>
      <c r="P62" s="85"/>
      <c r="S62" s="149">
        <v>132000</v>
      </c>
      <c r="T62" s="55"/>
      <c r="EU62" s="59"/>
    </row>
    <row r="63" spans="1:152" s="53" customFormat="1" ht="15.75" hidden="1" outlineLevel="2">
      <c r="A63" s="103"/>
      <c r="B63" s="113" t="s">
        <v>98</v>
      </c>
      <c r="C63" s="105"/>
      <c r="D63" s="115"/>
      <c r="E63" s="115"/>
      <c r="F63" s="106"/>
      <c r="G63" s="107"/>
      <c r="H63" s="107"/>
      <c r="I63" s="107"/>
      <c r="J63" s="107"/>
      <c r="K63" s="106">
        <f t="shared" si="5"/>
        <v>0</v>
      </c>
      <c r="L63" s="76"/>
      <c r="M63" s="75">
        <f t="shared" si="3"/>
        <v>0</v>
      </c>
      <c r="N63" s="98"/>
      <c r="O63" s="164"/>
      <c r="P63" s="85"/>
      <c r="S63" s="149"/>
      <c r="T63" s="55"/>
      <c r="EU63" s="59"/>
    </row>
    <row r="64" spans="1:152" s="72" customFormat="1" ht="22.5" customHeight="1" outlineLevel="1">
      <c r="A64" s="133" t="s">
        <v>99</v>
      </c>
      <c r="B64" s="134" t="s">
        <v>100</v>
      </c>
      <c r="C64" s="75"/>
      <c r="D64" s="75">
        <f>'[2]PB1-DU KIEN NGUON'!S28</f>
        <v>933768</v>
      </c>
      <c r="E64" s="75">
        <v>491700</v>
      </c>
      <c r="F64" s="75">
        <f>G64+H64+I64+J64</f>
        <v>491700</v>
      </c>
      <c r="G64" s="165">
        <v>41300</v>
      </c>
      <c r="H64" s="165">
        <v>83100</v>
      </c>
      <c r="I64" s="165">
        <v>236700</v>
      </c>
      <c r="J64" s="165">
        <v>130600</v>
      </c>
      <c r="K64" s="75">
        <f t="shared" si="5"/>
        <v>0</v>
      </c>
      <c r="L64" s="75">
        <v>130600</v>
      </c>
      <c r="M64" s="75">
        <f t="shared" si="3"/>
        <v>-130600</v>
      </c>
      <c r="N64" s="166"/>
      <c r="O64" s="137"/>
      <c r="P64" s="84"/>
      <c r="Q64" s="144"/>
      <c r="S64" s="149">
        <v>933768</v>
      </c>
      <c r="T64" s="55"/>
      <c r="EV64" s="71"/>
    </row>
    <row r="65" spans="1:153" s="172" customFormat="1" ht="33.75" customHeight="1">
      <c r="A65" s="48" t="s">
        <v>101</v>
      </c>
      <c r="B65" s="49" t="s">
        <v>102</v>
      </c>
      <c r="C65" s="167">
        <f t="shared" ref="C65:M65" si="11">C66+C73</f>
        <v>8120702</v>
      </c>
      <c r="D65" s="167">
        <f t="shared" si="11"/>
        <v>8920402.25</v>
      </c>
      <c r="E65" s="167">
        <f t="shared" si="11"/>
        <v>8920702.25</v>
      </c>
      <c r="F65" s="167">
        <f t="shared" si="11"/>
        <v>7424430</v>
      </c>
      <c r="G65" s="167">
        <f t="shared" si="11"/>
        <v>1054859</v>
      </c>
      <c r="H65" s="167">
        <f t="shared" si="11"/>
        <v>2090082</v>
      </c>
      <c r="I65" s="167">
        <f t="shared" si="11"/>
        <v>2421635</v>
      </c>
      <c r="J65" s="167">
        <f t="shared" si="11"/>
        <v>1857854</v>
      </c>
      <c r="K65" s="167">
        <f t="shared" si="5"/>
        <v>1496272.25</v>
      </c>
      <c r="L65" s="167" t="e">
        <f t="shared" si="11"/>
        <v>#REF!</v>
      </c>
      <c r="M65" s="167" t="e">
        <f t="shared" si="11"/>
        <v>#REF!</v>
      </c>
      <c r="N65" s="168"/>
      <c r="O65" s="169"/>
      <c r="P65" s="170"/>
      <c r="Q65" s="171"/>
      <c r="T65" s="43"/>
      <c r="U65" s="173">
        <f>D65-D68</f>
        <v>6819970.25</v>
      </c>
      <c r="EV65" s="173"/>
    </row>
    <row r="66" spans="1:153" s="172" customFormat="1" ht="15.75">
      <c r="A66" s="133" t="s">
        <v>22</v>
      </c>
      <c r="B66" s="134" t="s">
        <v>103</v>
      </c>
      <c r="C66" s="75">
        <f t="shared" ref="C66:M66" si="12">C67+C68+C72</f>
        <v>7553969</v>
      </c>
      <c r="D66" s="75">
        <f t="shared" si="12"/>
        <v>8353669</v>
      </c>
      <c r="E66" s="75">
        <f>E67+E68+E72</f>
        <v>8353969</v>
      </c>
      <c r="F66" s="75">
        <f t="shared" si="12"/>
        <v>7088813</v>
      </c>
      <c r="G66" s="75">
        <f t="shared" si="12"/>
        <v>840820</v>
      </c>
      <c r="H66" s="75">
        <f t="shared" si="12"/>
        <v>2029746</v>
      </c>
      <c r="I66" s="75">
        <f t="shared" si="12"/>
        <v>2390873</v>
      </c>
      <c r="J66" s="75">
        <f t="shared" si="12"/>
        <v>1827374</v>
      </c>
      <c r="K66" s="75">
        <f t="shared" si="5"/>
        <v>1265156</v>
      </c>
      <c r="L66" s="75" t="e">
        <f t="shared" si="12"/>
        <v>#REF!</v>
      </c>
      <c r="M66" s="75" t="e">
        <f t="shared" si="12"/>
        <v>#REF!</v>
      </c>
      <c r="N66" s="174"/>
      <c r="O66" s="169"/>
      <c r="P66" s="170"/>
      <c r="Q66" s="171"/>
      <c r="T66" s="55"/>
      <c r="U66" s="173">
        <f>D65-D72-800000</f>
        <v>7489402.25</v>
      </c>
      <c r="EV66" s="173"/>
    </row>
    <row r="67" spans="1:153" s="172" customFormat="1" ht="15.75">
      <c r="A67" s="103">
        <v>1</v>
      </c>
      <c r="B67" s="104" t="s">
        <v>104</v>
      </c>
      <c r="C67" s="175">
        <v>4822237</v>
      </c>
      <c r="D67" s="175">
        <f>'[2]PL I-NSTW trong nuoc'!W13+800000</f>
        <v>5622237</v>
      </c>
      <c r="E67" s="175">
        <v>5622237</v>
      </c>
      <c r="F67" s="96">
        <f t="shared" ref="F67:F73" si="13">G67+H67+I67+J67</f>
        <v>4855835</v>
      </c>
      <c r="G67" s="176">
        <f>'[2]PL I-NSTW trong nuoc'!AG13</f>
        <v>840820</v>
      </c>
      <c r="H67" s="176">
        <f>'[2]PL I-NSTW trong nuoc'!AH13</f>
        <v>1459425</v>
      </c>
      <c r="I67" s="176">
        <f>'[2]PL I-NSTW trong nuoc'!AI13</f>
        <v>1262500</v>
      </c>
      <c r="J67" s="176">
        <f>693090+600000</f>
        <v>1293090</v>
      </c>
      <c r="K67" s="96">
        <f t="shared" si="5"/>
        <v>766402</v>
      </c>
      <c r="L67" s="175" t="e">
        <v>#REF!</v>
      </c>
      <c r="M67" s="175" t="e">
        <f>K67-L67</f>
        <v>#REF!</v>
      </c>
      <c r="N67" s="177"/>
      <c r="O67" s="169"/>
      <c r="P67" s="170"/>
      <c r="Q67" s="171"/>
      <c r="T67" s="55"/>
      <c r="U67" s="173">
        <f>U66-D68</f>
        <v>5388970.25</v>
      </c>
      <c r="EV67" s="173"/>
    </row>
    <row r="68" spans="1:153" s="172" customFormat="1" ht="15.75">
      <c r="A68" s="103">
        <v>2</v>
      </c>
      <c r="B68" s="104" t="s">
        <v>105</v>
      </c>
      <c r="C68" s="175">
        <f>C69+C70+C71</f>
        <v>2100732</v>
      </c>
      <c r="D68" s="175">
        <f>D69+D70+D71</f>
        <v>2100432</v>
      </c>
      <c r="E68" s="175">
        <f>SUM(E69:E71)</f>
        <v>2100732</v>
      </c>
      <c r="F68" s="96">
        <f t="shared" si="13"/>
        <v>1601978</v>
      </c>
      <c r="G68" s="176">
        <f t="shared" ref="G68:L68" si="14">SUM(G69:G71)</f>
        <v>0</v>
      </c>
      <c r="H68" s="176">
        <f t="shared" si="14"/>
        <v>570321</v>
      </c>
      <c r="I68" s="176">
        <f t="shared" si="14"/>
        <v>497373.00000000006</v>
      </c>
      <c r="J68" s="176">
        <f t="shared" si="14"/>
        <v>534284</v>
      </c>
      <c r="K68" s="96">
        <f t="shared" si="5"/>
        <v>498754</v>
      </c>
      <c r="L68" s="175" t="e">
        <f t="shared" si="14"/>
        <v>#REF!</v>
      </c>
      <c r="M68" s="175" t="e">
        <f t="shared" ref="M68:M73" si="15">K68-L68</f>
        <v>#REF!</v>
      </c>
      <c r="N68" s="177"/>
      <c r="O68" s="169"/>
      <c r="P68" s="170"/>
      <c r="Q68" s="171"/>
      <c r="T68" s="43"/>
      <c r="EV68" s="173"/>
    </row>
    <row r="69" spans="1:153" s="172" customFormat="1" ht="15.75">
      <c r="A69" s="112" t="s">
        <v>53</v>
      </c>
      <c r="B69" s="178" t="s">
        <v>106</v>
      </c>
      <c r="C69" s="179">
        <f>429530+53300</f>
        <v>482830</v>
      </c>
      <c r="D69" s="179">
        <f>'[2]PL III-CTMTQG'!D16</f>
        <v>482530</v>
      </c>
      <c r="E69" s="179">
        <v>482830</v>
      </c>
      <c r="F69" s="96">
        <f t="shared" si="13"/>
        <v>382390</v>
      </c>
      <c r="G69" s="176">
        <v>0</v>
      </c>
      <c r="H69" s="176">
        <f>'[2]PL III-CTMTQG'!G16</f>
        <v>181040</v>
      </c>
      <c r="I69" s="176">
        <f>'[2]PL III-CTMTQG'!N16</f>
        <v>100970</v>
      </c>
      <c r="J69" s="176">
        <v>100380</v>
      </c>
      <c r="K69" s="96">
        <f t="shared" si="5"/>
        <v>100440</v>
      </c>
      <c r="L69" s="175" t="e">
        <v>#REF!</v>
      </c>
      <c r="M69" s="175" t="e">
        <f t="shared" si="15"/>
        <v>#REF!</v>
      </c>
      <c r="N69" s="177"/>
      <c r="O69" s="169"/>
      <c r="P69" s="170"/>
      <c r="Q69" s="171"/>
      <c r="T69" s="55"/>
      <c r="EV69" s="173"/>
    </row>
    <row r="70" spans="1:153" s="172" customFormat="1" ht="15.75">
      <c r="A70" s="103" t="s">
        <v>53</v>
      </c>
      <c r="B70" s="180" t="s">
        <v>107</v>
      </c>
      <c r="C70" s="179">
        <v>512206</v>
      </c>
      <c r="D70" s="179">
        <f>'[2]PL III-CTMTQG'!D13</f>
        <v>512206</v>
      </c>
      <c r="E70" s="179">
        <v>512206</v>
      </c>
      <c r="F70" s="96">
        <f t="shared" si="13"/>
        <v>420389</v>
      </c>
      <c r="G70" s="176">
        <v>0</v>
      </c>
      <c r="H70" s="176">
        <f>'[2]PL III-CTMTQG'!G13</f>
        <v>171173</v>
      </c>
      <c r="I70" s="176">
        <f>'[2]PL III-CTMTQG'!N13</f>
        <v>113679</v>
      </c>
      <c r="J70" s="176">
        <v>135537</v>
      </c>
      <c r="K70" s="96">
        <f t="shared" si="5"/>
        <v>91817</v>
      </c>
      <c r="L70" s="175" t="e">
        <v>#REF!</v>
      </c>
      <c r="M70" s="175" t="e">
        <f t="shared" si="15"/>
        <v>#REF!</v>
      </c>
      <c r="N70" s="177"/>
      <c r="O70" s="169"/>
      <c r="P70" s="170"/>
      <c r="Q70" s="171"/>
      <c r="T70" s="55"/>
      <c r="EV70" s="173"/>
    </row>
    <row r="71" spans="1:153" s="172" customFormat="1" ht="20.25" customHeight="1">
      <c r="A71" s="103" t="s">
        <v>53</v>
      </c>
      <c r="B71" s="181" t="s">
        <v>108</v>
      </c>
      <c r="C71" s="179">
        <f>1092166+13530</f>
        <v>1105696</v>
      </c>
      <c r="D71" s="179">
        <f>'[2]PL III-CTMTQG'!D12</f>
        <v>1105696</v>
      </c>
      <c r="E71" s="179">
        <v>1105696</v>
      </c>
      <c r="F71" s="96">
        <f t="shared" si="13"/>
        <v>799199</v>
      </c>
      <c r="G71" s="176">
        <v>0</v>
      </c>
      <c r="H71" s="176">
        <f>'[2]PL III-CTMTQG'!G12</f>
        <v>218108</v>
      </c>
      <c r="I71" s="176">
        <f>'[2]PL III-CTMTQG'!N12</f>
        <v>282724.00000000006</v>
      </c>
      <c r="J71" s="176">
        <v>298367</v>
      </c>
      <c r="K71" s="96">
        <f t="shared" si="5"/>
        <v>306497</v>
      </c>
      <c r="L71" s="175" t="e">
        <v>#REF!</v>
      </c>
      <c r="M71" s="175" t="e">
        <f t="shared" si="15"/>
        <v>#REF!</v>
      </c>
      <c r="N71" s="177"/>
      <c r="O71" s="169"/>
      <c r="P71" s="170"/>
      <c r="Q71" s="171"/>
      <c r="T71" s="55"/>
      <c r="EV71" s="173"/>
    </row>
    <row r="72" spans="1:153" s="172" customFormat="1" ht="21.75" customHeight="1">
      <c r="A72" s="103">
        <v>3</v>
      </c>
      <c r="B72" s="104" t="s">
        <v>109</v>
      </c>
      <c r="C72" s="175">
        <v>631000</v>
      </c>
      <c r="D72" s="175">
        <v>631000</v>
      </c>
      <c r="E72" s="175">
        <v>631000</v>
      </c>
      <c r="F72" s="96">
        <f t="shared" si="13"/>
        <v>631000</v>
      </c>
      <c r="G72" s="176">
        <v>0</v>
      </c>
      <c r="H72" s="176">
        <v>0</v>
      </c>
      <c r="I72" s="176">
        <f>'[2]PL IV-Phuc hoi KTXH'!O13</f>
        <v>631000</v>
      </c>
      <c r="J72" s="176">
        <v>0</v>
      </c>
      <c r="K72" s="96">
        <f t="shared" si="5"/>
        <v>0</v>
      </c>
      <c r="L72" s="175">
        <v>0</v>
      </c>
      <c r="M72" s="175">
        <f>K72-L72</f>
        <v>0</v>
      </c>
      <c r="N72" s="177"/>
      <c r="O72" s="169"/>
      <c r="P72" s="170"/>
      <c r="Q72" s="171"/>
      <c r="T72" s="55"/>
      <c r="EV72" s="173"/>
    </row>
    <row r="73" spans="1:153" s="172" customFormat="1" ht="21" customHeight="1">
      <c r="A73" s="133" t="s">
        <v>66</v>
      </c>
      <c r="B73" s="134" t="s">
        <v>110</v>
      </c>
      <c r="C73" s="75">
        <f>337262+139471+90000</f>
        <v>566733</v>
      </c>
      <c r="D73" s="75">
        <f>'[2]PL II-ODA'!N11+'[2]PL II-ODA'!O11</f>
        <v>566733.25</v>
      </c>
      <c r="E73" s="75">
        <v>566733.25</v>
      </c>
      <c r="F73" s="75">
        <f t="shared" si="13"/>
        <v>335617</v>
      </c>
      <c r="G73" s="135">
        <f>'[2]PL II-ODA'!S11+'[2]PL II-ODA'!T11</f>
        <v>214039</v>
      </c>
      <c r="H73" s="135">
        <f>'[2]PL II-ODA'!AD11+'[2]PL II-ODA'!AE11</f>
        <v>60336</v>
      </c>
      <c r="I73" s="135">
        <f>'[2]PL II-ODA'!AO11+'[2]PL II-ODA'!AP11</f>
        <v>30762</v>
      </c>
      <c r="J73" s="135">
        <v>30480</v>
      </c>
      <c r="K73" s="75">
        <f t="shared" si="5"/>
        <v>231116.25</v>
      </c>
      <c r="L73" s="75" t="e">
        <v>#REF!</v>
      </c>
      <c r="M73" s="75" t="e">
        <f t="shared" si="15"/>
        <v>#REF!</v>
      </c>
      <c r="N73" s="174"/>
      <c r="O73" s="169"/>
      <c r="P73" s="170"/>
      <c r="Q73" s="171"/>
      <c r="T73" s="55"/>
      <c r="EV73" s="173"/>
    </row>
    <row r="74" spans="1:153" s="184" customFormat="1" ht="11.25" customHeight="1">
      <c r="A74" s="182"/>
      <c r="B74" s="183"/>
      <c r="C74" s="183"/>
      <c r="D74" s="183"/>
      <c r="E74" s="183"/>
      <c r="F74" s="183"/>
      <c r="G74" s="183"/>
      <c r="H74" s="183"/>
      <c r="I74" s="183"/>
      <c r="J74" s="183"/>
      <c r="K74" s="183"/>
      <c r="L74" s="183"/>
      <c r="M74" s="182"/>
      <c r="N74" s="182"/>
      <c r="O74" s="182"/>
    </row>
    <row r="75" spans="1:153" s="189" customFormat="1" ht="16.5" customHeight="1">
      <c r="A75" s="185"/>
      <c r="B75" s="186"/>
      <c r="C75" s="187"/>
      <c r="D75" s="187"/>
      <c r="E75" s="187"/>
      <c r="F75" s="187"/>
      <c r="G75" s="187"/>
      <c r="H75" s="187"/>
      <c r="I75" s="187"/>
      <c r="J75" s="187"/>
      <c r="K75" s="187"/>
      <c r="L75" s="187"/>
      <c r="M75" s="187"/>
      <c r="N75" s="187"/>
      <c r="O75" s="188"/>
    </row>
    <row r="76" spans="1:153">
      <c r="B76" s="191"/>
      <c r="C76" s="192"/>
      <c r="D76" s="192"/>
      <c r="E76" s="192"/>
      <c r="F76" s="193"/>
      <c r="G76" s="194"/>
      <c r="H76" s="194"/>
      <c r="I76" s="194"/>
      <c r="J76" s="194"/>
      <c r="K76" s="192"/>
      <c r="L76" s="192"/>
      <c r="M76" s="192"/>
      <c r="N76" s="192"/>
      <c r="O76" s="195"/>
      <c r="EU76" s="196"/>
      <c r="EV76" s="24"/>
      <c r="EW76" s="197"/>
    </row>
    <row r="77" spans="1:153" ht="14.25" hidden="1" customHeight="1">
      <c r="B77" s="191"/>
      <c r="C77" s="192"/>
      <c r="D77" s="192"/>
      <c r="E77" s="192"/>
      <c r="F77" s="192"/>
      <c r="G77" s="194"/>
      <c r="H77" s="194"/>
      <c r="I77" s="194"/>
      <c r="J77" s="194"/>
      <c r="K77" s="192"/>
      <c r="L77" s="192"/>
      <c r="M77" s="192"/>
      <c r="N77" s="192"/>
      <c r="O77" s="195"/>
    </row>
    <row r="78" spans="1:153" ht="15" customHeight="1">
      <c r="B78" s="9" t="s">
        <v>119</v>
      </c>
      <c r="C78" s="192"/>
      <c r="D78" s="192"/>
      <c r="E78" s="192">
        <v>68</v>
      </c>
      <c r="F78" s="192"/>
      <c r="G78" s="194"/>
      <c r="H78" s="194"/>
      <c r="I78" s="194"/>
      <c r="J78" s="194"/>
      <c r="K78" s="192"/>
      <c r="L78" s="192"/>
      <c r="M78" s="192"/>
      <c r="N78" s="192"/>
      <c r="O78" s="195"/>
      <c r="P78" s="24"/>
    </row>
    <row r="79" spans="1:153" ht="25.5" customHeight="1">
      <c r="B79" s="9" t="s">
        <v>120</v>
      </c>
      <c r="E79" s="9">
        <v>131</v>
      </c>
      <c r="I79" s="194"/>
      <c r="J79" s="194"/>
      <c r="K79" s="14"/>
      <c r="L79" s="14"/>
    </row>
    <row r="80" spans="1:153">
      <c r="B80" s="9" t="s">
        <v>121</v>
      </c>
      <c r="C80" s="14"/>
      <c r="D80" s="14"/>
      <c r="E80" s="14">
        <v>5</v>
      </c>
      <c r="F80" s="14"/>
      <c r="G80" s="198"/>
      <c r="H80" s="198"/>
      <c r="I80" s="194"/>
      <c r="J80" s="194"/>
      <c r="K80" s="14"/>
      <c r="L80" s="14"/>
      <c r="M80" s="14"/>
      <c r="N80" s="14"/>
      <c r="O80" s="199"/>
    </row>
    <row r="81" spans="2:153">
      <c r="B81" s="9" t="s">
        <v>122</v>
      </c>
      <c r="E81" s="9">
        <v>20</v>
      </c>
    </row>
    <row r="82" spans="2:153">
      <c r="B82" s="9" t="s">
        <v>128</v>
      </c>
      <c r="E82" s="24">
        <f>E78+E80</f>
        <v>73</v>
      </c>
      <c r="F82" s="24">
        <f>E82-1</f>
        <v>72</v>
      </c>
      <c r="G82" s="184" t="s">
        <v>136</v>
      </c>
      <c r="EU82" s="24"/>
      <c r="EV82" s="200"/>
    </row>
    <row r="83" spans="2:153">
      <c r="B83" s="9" t="s">
        <v>129</v>
      </c>
      <c r="E83" s="9">
        <f>E79+E81</f>
        <v>151</v>
      </c>
      <c r="F83" s="9">
        <f>E83-1</f>
        <v>150</v>
      </c>
      <c r="G83" s="184" t="s">
        <v>136</v>
      </c>
      <c r="K83" s="14"/>
      <c r="L83" s="14"/>
      <c r="EV83" s="14"/>
      <c r="EW83" s="24"/>
    </row>
    <row r="84" spans="2:153">
      <c r="B84" s="207" t="s">
        <v>123</v>
      </c>
      <c r="C84" s="207"/>
      <c r="D84" s="207"/>
      <c r="E84" s="208">
        <f>E82+E83</f>
        <v>224</v>
      </c>
      <c r="F84" s="208">
        <f>F82+F83</f>
        <v>222</v>
      </c>
    </row>
    <row r="85" spans="2:153">
      <c r="B85" s="9" t="s">
        <v>124</v>
      </c>
      <c r="E85" s="9">
        <v>10</v>
      </c>
    </row>
    <row r="86" spans="2:153">
      <c r="B86" s="9" t="s">
        <v>125</v>
      </c>
      <c r="E86" s="9">
        <v>15</v>
      </c>
    </row>
    <row r="87" spans="2:153">
      <c r="B87" s="9" t="s">
        <v>126</v>
      </c>
      <c r="E87" s="9">
        <v>8</v>
      </c>
    </row>
    <row r="88" spans="2:153">
      <c r="B88" s="9" t="s">
        <v>127</v>
      </c>
      <c r="E88" s="9">
        <v>8</v>
      </c>
    </row>
    <row r="89" spans="2:153">
      <c r="B89" s="9" t="s">
        <v>130</v>
      </c>
      <c r="E89" s="9">
        <v>2</v>
      </c>
    </row>
    <row r="90" spans="2:153">
      <c r="B90" s="9" t="s">
        <v>131</v>
      </c>
      <c r="E90" s="9">
        <f>E85+E88</f>
        <v>18</v>
      </c>
    </row>
    <row r="91" spans="2:153">
      <c r="B91" s="9" t="s">
        <v>132</v>
      </c>
      <c r="E91" s="9">
        <f>E86+E87+E89</f>
        <v>25</v>
      </c>
    </row>
    <row r="92" spans="2:153">
      <c r="B92" s="207" t="s">
        <v>133</v>
      </c>
      <c r="C92" s="207"/>
      <c r="D92" s="207"/>
      <c r="E92" s="208">
        <f>E90+E91</f>
        <v>43</v>
      </c>
      <c r="F92" s="208">
        <f>E92</f>
        <v>43</v>
      </c>
    </row>
    <row r="93" spans="2:153">
      <c r="B93" s="209" t="s">
        <v>134</v>
      </c>
      <c r="E93" s="208">
        <f>E84+E92</f>
        <v>267</v>
      </c>
      <c r="F93" s="210">
        <f>F84+F92</f>
        <v>265</v>
      </c>
      <c r="G93" s="211">
        <f>F93-27</f>
        <v>238</v>
      </c>
    </row>
    <row r="94" spans="2:153">
      <c r="B94" s="9" t="s">
        <v>135</v>
      </c>
      <c r="E94" s="24">
        <f>E82+E90</f>
        <v>91</v>
      </c>
      <c r="F94" s="24">
        <f>F82+E90</f>
        <v>90</v>
      </c>
    </row>
    <row r="95" spans="2:153">
      <c r="B95" s="9" t="s">
        <v>120</v>
      </c>
      <c r="E95" s="9">
        <f>E83+E91</f>
        <v>176</v>
      </c>
      <c r="F95" s="9">
        <f>F83+E91</f>
        <v>175</v>
      </c>
    </row>
  </sheetData>
  <mergeCells count="16">
    <mergeCell ref="P46:Q46"/>
    <mergeCell ref="C7:D9"/>
    <mergeCell ref="F7:J7"/>
    <mergeCell ref="K7:M9"/>
    <mergeCell ref="N7:N9"/>
    <mergeCell ref="A7:A9"/>
    <mergeCell ref="B7:B9"/>
    <mergeCell ref="E7:E9"/>
    <mergeCell ref="O7:O9"/>
    <mergeCell ref="F8:F9"/>
    <mergeCell ref="G8:J8"/>
    <mergeCell ref="A1:N1"/>
    <mergeCell ref="A2:N2"/>
    <mergeCell ref="A3:N3"/>
    <mergeCell ref="A4:N4"/>
    <mergeCell ref="C6:O6"/>
  </mergeCells>
  <printOptions horizontalCentered="1"/>
  <pageMargins left="0.5" right="0.5" top="0.75" bottom="0.25" header="0" footer="0"/>
  <pageSetup paperSize="9" scale="85" orientation="landscape" r:id="rId1"/>
  <headerFooter differentFirst="1">
    <oddHeader>&amp;C&amp;P/&amp;N</oddHead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HJ66"/>
  <sheetViews>
    <sheetView topLeftCell="A2" zoomScaleNormal="100" workbookViewId="0">
      <pane xSplit="2" ySplit="9" topLeftCell="C11" activePane="bottomRight" state="frozen"/>
      <selection activeCell="A2" sqref="A2"/>
      <selection pane="topRight" activeCell="C2" sqref="C2"/>
      <selection pane="bottomLeft" activeCell="A11" sqref="A11"/>
      <selection pane="bottomRight" activeCell="D19" sqref="D19"/>
    </sheetView>
  </sheetViews>
  <sheetFormatPr defaultColWidth="9" defaultRowHeight="12.75"/>
  <cols>
    <col min="1" max="1" width="5.28515625" style="212" customWidth="1"/>
    <col min="2" max="2" width="52.42578125" style="213" customWidth="1"/>
    <col min="3" max="3" width="18" style="213" customWidth="1"/>
    <col min="4" max="4" width="18.85546875" style="213" customWidth="1"/>
    <col min="5" max="5" width="14" style="213" customWidth="1"/>
    <col min="6" max="6" width="10.42578125" style="213" customWidth="1"/>
    <col min="7" max="7" width="6.140625" style="213" hidden="1" customWidth="1"/>
    <col min="8" max="8" width="18" style="213" hidden="1" customWidth="1"/>
    <col min="9" max="9" width="29.7109375" style="213" hidden="1" customWidth="1"/>
    <col min="10" max="10" width="21" style="213" hidden="1" customWidth="1"/>
    <col min="11" max="11" width="9.140625" style="213" hidden="1" customWidth="1"/>
    <col min="12" max="12" width="13.85546875" style="213" hidden="1" customWidth="1"/>
    <col min="13" max="13" width="15.42578125" style="213" hidden="1" customWidth="1"/>
    <col min="14" max="14" width="14.28515625" style="213" bestFit="1" customWidth="1"/>
    <col min="15" max="16" width="9.7109375" style="213" bestFit="1" customWidth="1"/>
    <col min="17" max="16384" width="9" style="213"/>
  </cols>
  <sheetData>
    <row r="1" spans="1:218" ht="21" customHeight="1">
      <c r="D1" s="889"/>
      <c r="E1" s="889"/>
      <c r="F1" s="889"/>
      <c r="G1" s="889"/>
    </row>
    <row r="2" spans="1:218" s="214" customFormat="1" ht="19.899999999999999" customHeight="1">
      <c r="A2" s="890" t="s">
        <v>1</v>
      </c>
      <c r="B2" s="890"/>
      <c r="C2" s="890"/>
      <c r="D2" s="890"/>
      <c r="E2" s="890"/>
      <c r="F2" s="890"/>
      <c r="G2" s="890"/>
    </row>
    <row r="3" spans="1:218" s="214" customFormat="1" ht="21" customHeight="1">
      <c r="A3" s="890" t="s">
        <v>145</v>
      </c>
      <c r="B3" s="890"/>
      <c r="C3" s="890"/>
      <c r="D3" s="890"/>
      <c r="E3" s="890"/>
      <c r="F3" s="890"/>
      <c r="G3" s="890"/>
      <c r="H3" s="586" t="e">
        <v>#REF!</v>
      </c>
    </row>
    <row r="4" spans="1:218" s="214" customFormat="1" ht="18.75">
      <c r="A4" s="891" t="s">
        <v>1014</v>
      </c>
      <c r="B4" s="891"/>
      <c r="C4" s="891"/>
      <c r="D4" s="891"/>
      <c r="E4" s="891"/>
      <c r="F4" s="891"/>
      <c r="G4" s="891"/>
      <c r="H4" s="586" t="e">
        <f>H3+D30+D32+D33+D34+D35+D36+D42+D40</f>
        <v>#REF!</v>
      </c>
      <c r="I4" s="586">
        <v>5006858</v>
      </c>
      <c r="J4" s="586">
        <f>D43</f>
        <v>0</v>
      </c>
      <c r="K4" s="586">
        <f>J4+I4</f>
        <v>5006858</v>
      </c>
      <c r="L4" s="215"/>
      <c r="M4" s="215"/>
      <c r="N4" s="215"/>
      <c r="O4" s="215"/>
      <c r="P4" s="215"/>
      <c r="Q4" s="215"/>
      <c r="R4" s="215"/>
      <c r="S4" s="215"/>
      <c r="T4" s="215"/>
      <c r="U4" s="215"/>
      <c r="V4" s="215"/>
      <c r="W4" s="215"/>
      <c r="X4" s="215"/>
      <c r="Y4" s="215"/>
      <c r="Z4" s="215"/>
      <c r="AA4" s="215"/>
      <c r="AB4" s="215"/>
      <c r="AC4" s="215"/>
      <c r="AD4" s="215"/>
      <c r="AE4" s="215"/>
      <c r="AF4" s="215"/>
      <c r="AG4" s="215"/>
      <c r="AH4" s="215"/>
      <c r="AI4" s="215"/>
      <c r="AJ4" s="215"/>
      <c r="AK4" s="215"/>
      <c r="AL4" s="215"/>
      <c r="AM4" s="215"/>
      <c r="AN4" s="215"/>
      <c r="AO4" s="215"/>
      <c r="AP4" s="215"/>
      <c r="AQ4" s="215"/>
      <c r="AR4" s="215"/>
      <c r="AS4" s="215"/>
      <c r="AT4" s="215"/>
      <c r="AU4" s="215"/>
      <c r="AV4" s="215"/>
      <c r="AW4" s="215"/>
      <c r="AX4" s="215"/>
      <c r="AY4" s="215"/>
      <c r="AZ4" s="215"/>
      <c r="BA4" s="215"/>
      <c r="BB4" s="215"/>
      <c r="BC4" s="215"/>
      <c r="BD4" s="215"/>
      <c r="BE4" s="215"/>
      <c r="BF4" s="215"/>
      <c r="BG4" s="215"/>
      <c r="BH4" s="215"/>
      <c r="BI4" s="215"/>
      <c r="BJ4" s="215"/>
      <c r="BK4" s="215"/>
      <c r="BL4" s="215"/>
      <c r="BM4" s="215"/>
      <c r="BN4" s="215"/>
      <c r="BO4" s="215"/>
      <c r="BP4" s="215"/>
      <c r="BQ4" s="215"/>
      <c r="BR4" s="215"/>
      <c r="BS4" s="215"/>
      <c r="BT4" s="215"/>
      <c r="BU4" s="215"/>
      <c r="BV4" s="215"/>
      <c r="BW4" s="215"/>
      <c r="BX4" s="215"/>
      <c r="BY4" s="215"/>
      <c r="BZ4" s="215"/>
      <c r="CA4" s="215"/>
      <c r="CB4" s="215"/>
      <c r="CC4" s="215"/>
      <c r="CD4" s="215"/>
      <c r="CE4" s="215"/>
      <c r="CF4" s="215"/>
      <c r="CG4" s="215"/>
      <c r="CH4" s="215"/>
      <c r="CI4" s="215"/>
      <c r="CJ4" s="215"/>
      <c r="CK4" s="215"/>
      <c r="CL4" s="215"/>
      <c r="CM4" s="215"/>
      <c r="CN4" s="215"/>
      <c r="CO4" s="215"/>
      <c r="CP4" s="215"/>
      <c r="CQ4" s="215"/>
      <c r="CR4" s="215"/>
      <c r="CS4" s="215"/>
      <c r="CT4" s="215"/>
      <c r="CU4" s="215"/>
      <c r="CV4" s="215"/>
      <c r="CW4" s="215"/>
      <c r="CX4" s="215"/>
      <c r="CY4" s="215"/>
      <c r="CZ4" s="215"/>
      <c r="DA4" s="215"/>
      <c r="DB4" s="215"/>
      <c r="DC4" s="215"/>
      <c r="DD4" s="215"/>
      <c r="DE4" s="215"/>
      <c r="DF4" s="215"/>
      <c r="DG4" s="215"/>
      <c r="DH4" s="215"/>
      <c r="DI4" s="215"/>
      <c r="DJ4" s="215"/>
      <c r="DK4" s="215"/>
      <c r="DL4" s="215"/>
      <c r="DM4" s="215"/>
      <c r="DN4" s="215"/>
      <c r="DO4" s="215"/>
      <c r="DP4" s="215"/>
      <c r="DQ4" s="215"/>
      <c r="DR4" s="215"/>
      <c r="DS4" s="215"/>
      <c r="DT4" s="215"/>
      <c r="DU4" s="215"/>
      <c r="DV4" s="215"/>
      <c r="DW4" s="215"/>
      <c r="DX4" s="215"/>
      <c r="DY4" s="215"/>
      <c r="DZ4" s="215"/>
      <c r="EA4" s="215"/>
      <c r="EB4" s="215"/>
      <c r="EC4" s="215"/>
      <c r="ED4" s="215"/>
      <c r="EE4" s="215"/>
      <c r="EF4" s="215"/>
      <c r="EG4" s="215"/>
      <c r="EH4" s="215"/>
      <c r="EI4" s="215"/>
      <c r="EJ4" s="215"/>
      <c r="EK4" s="215"/>
      <c r="EL4" s="215"/>
      <c r="EM4" s="215"/>
      <c r="EN4" s="215"/>
      <c r="EO4" s="215"/>
      <c r="EP4" s="215"/>
      <c r="EQ4" s="215"/>
      <c r="ER4" s="215"/>
      <c r="ES4" s="215"/>
      <c r="ET4" s="215"/>
      <c r="EU4" s="215"/>
      <c r="EV4" s="215"/>
      <c r="EW4" s="215"/>
      <c r="EX4" s="215"/>
      <c r="EY4" s="215"/>
      <c r="EZ4" s="215"/>
      <c r="FA4" s="215"/>
      <c r="FB4" s="215"/>
      <c r="FC4" s="215"/>
      <c r="FD4" s="215"/>
      <c r="FE4" s="215"/>
      <c r="FF4" s="215"/>
      <c r="FG4" s="215"/>
      <c r="FH4" s="215"/>
      <c r="FI4" s="215"/>
      <c r="FJ4" s="215"/>
      <c r="FK4" s="215"/>
      <c r="FL4" s="215"/>
      <c r="FM4" s="215"/>
      <c r="FN4" s="215"/>
      <c r="FO4" s="215"/>
      <c r="FP4" s="215"/>
      <c r="FQ4" s="215"/>
      <c r="FR4" s="215"/>
      <c r="FS4" s="215"/>
      <c r="FT4" s="215"/>
      <c r="FU4" s="215"/>
      <c r="FV4" s="215"/>
      <c r="FW4" s="215"/>
      <c r="FX4" s="215"/>
      <c r="FY4" s="215"/>
      <c r="FZ4" s="215"/>
      <c r="GA4" s="215"/>
      <c r="GB4" s="215"/>
      <c r="GC4" s="215"/>
      <c r="GD4" s="215"/>
      <c r="GE4" s="215"/>
      <c r="GF4" s="215"/>
      <c r="GG4" s="215"/>
      <c r="GH4" s="215"/>
      <c r="GI4" s="215"/>
      <c r="GJ4" s="215"/>
      <c r="GK4" s="215"/>
      <c r="GL4" s="215"/>
      <c r="GM4" s="215"/>
      <c r="GN4" s="215"/>
      <c r="GO4" s="215"/>
      <c r="GP4" s="215"/>
      <c r="GQ4" s="215"/>
      <c r="GR4" s="215"/>
      <c r="GS4" s="215"/>
      <c r="GT4" s="215"/>
      <c r="GU4" s="215"/>
      <c r="GV4" s="215"/>
      <c r="GW4" s="215"/>
      <c r="GX4" s="215"/>
      <c r="GY4" s="215"/>
      <c r="GZ4" s="215"/>
      <c r="HA4" s="215"/>
      <c r="HB4" s="215"/>
      <c r="HC4" s="215"/>
      <c r="HD4" s="215"/>
      <c r="HE4" s="215"/>
      <c r="HF4" s="215"/>
      <c r="HG4" s="215"/>
      <c r="HH4" s="215"/>
      <c r="HI4" s="215"/>
      <c r="HJ4" s="215"/>
    </row>
    <row r="5" spans="1:218" ht="10.5" customHeight="1">
      <c r="A5" s="216"/>
      <c r="B5" s="216"/>
      <c r="C5" s="216"/>
      <c r="D5" s="216"/>
      <c r="E5" s="216"/>
      <c r="F5" s="216"/>
      <c r="G5" s="216"/>
      <c r="H5" s="598" t="e">
        <f>H4/D10</f>
        <v>#REF!</v>
      </c>
      <c r="I5" s="217"/>
      <c r="J5" s="217"/>
      <c r="K5" s="217"/>
      <c r="L5" s="217"/>
      <c r="M5" s="217"/>
      <c r="N5" s="217"/>
      <c r="O5" s="217"/>
      <c r="P5" s="217"/>
      <c r="Q5" s="217"/>
      <c r="R5" s="217"/>
      <c r="S5" s="217"/>
      <c r="T5" s="217"/>
      <c r="U5" s="217"/>
      <c r="V5" s="217"/>
      <c r="W5" s="217"/>
      <c r="X5" s="217"/>
      <c r="Y5" s="217"/>
      <c r="Z5" s="217"/>
      <c r="AA5" s="217"/>
      <c r="AB5" s="217"/>
      <c r="AC5" s="217"/>
      <c r="AD5" s="217"/>
      <c r="AE5" s="217"/>
      <c r="AF5" s="217"/>
      <c r="AG5" s="217"/>
      <c r="AH5" s="217"/>
      <c r="AI5" s="217"/>
      <c r="AJ5" s="217"/>
      <c r="AK5" s="217"/>
      <c r="AL5" s="217"/>
      <c r="AM5" s="217"/>
      <c r="AN5" s="217"/>
      <c r="AO5" s="217"/>
      <c r="AP5" s="217"/>
      <c r="AQ5" s="217"/>
      <c r="AR5" s="217"/>
      <c r="AS5" s="217"/>
      <c r="AT5" s="217"/>
      <c r="AU5" s="217"/>
      <c r="AV5" s="217"/>
      <c r="AW5" s="217"/>
      <c r="AX5" s="217"/>
      <c r="AY5" s="217"/>
      <c r="AZ5" s="217"/>
      <c r="BA5" s="217"/>
      <c r="BB5" s="217"/>
      <c r="BC5" s="217"/>
      <c r="BD5" s="217"/>
      <c r="BE5" s="217"/>
      <c r="BF5" s="217"/>
      <c r="BG5" s="217"/>
      <c r="BH5" s="217"/>
      <c r="BI5" s="217"/>
      <c r="BJ5" s="217"/>
      <c r="BK5" s="217"/>
      <c r="BL5" s="217"/>
      <c r="BM5" s="217"/>
      <c r="BN5" s="217"/>
      <c r="BO5" s="217"/>
      <c r="BP5" s="217"/>
      <c r="BQ5" s="217"/>
      <c r="BR5" s="217"/>
      <c r="BS5" s="217"/>
      <c r="BT5" s="217"/>
      <c r="BU5" s="217"/>
      <c r="BV5" s="217"/>
      <c r="BW5" s="217"/>
      <c r="BX5" s="217"/>
      <c r="BY5" s="217"/>
      <c r="BZ5" s="217"/>
      <c r="CA5" s="217"/>
      <c r="CB5" s="217"/>
      <c r="CC5" s="217"/>
      <c r="CD5" s="217"/>
      <c r="CE5" s="217"/>
      <c r="CF5" s="217"/>
      <c r="CG5" s="217"/>
      <c r="CH5" s="217"/>
      <c r="CI5" s="217"/>
      <c r="CJ5" s="217"/>
      <c r="CK5" s="217"/>
      <c r="CL5" s="217"/>
      <c r="CM5" s="217"/>
      <c r="CN5" s="217"/>
      <c r="CO5" s="217"/>
      <c r="CP5" s="217"/>
      <c r="CQ5" s="217"/>
      <c r="CR5" s="217"/>
      <c r="CS5" s="217"/>
      <c r="CT5" s="217"/>
      <c r="CU5" s="217"/>
      <c r="CV5" s="217"/>
      <c r="CW5" s="217"/>
      <c r="CX5" s="217"/>
      <c r="CY5" s="217"/>
      <c r="CZ5" s="217"/>
      <c r="DA5" s="217"/>
      <c r="DB5" s="217"/>
      <c r="DC5" s="217"/>
      <c r="DD5" s="217"/>
      <c r="DE5" s="217"/>
      <c r="DF5" s="217"/>
      <c r="DG5" s="217"/>
      <c r="DH5" s="217"/>
      <c r="DI5" s="217"/>
      <c r="DJ5" s="217"/>
      <c r="DK5" s="217"/>
      <c r="DL5" s="217"/>
      <c r="DM5" s="217"/>
      <c r="DN5" s="217"/>
      <c r="DO5" s="217"/>
      <c r="DP5" s="217"/>
      <c r="DQ5" s="217"/>
      <c r="DR5" s="217"/>
      <c r="DS5" s="217"/>
      <c r="DT5" s="217"/>
      <c r="DU5" s="217"/>
      <c r="DV5" s="217"/>
      <c r="DW5" s="217"/>
      <c r="DX5" s="217"/>
      <c r="DY5" s="217"/>
      <c r="DZ5" s="217"/>
      <c r="EA5" s="217"/>
      <c r="EB5" s="217"/>
      <c r="EC5" s="217"/>
      <c r="ED5" s="217"/>
      <c r="EE5" s="217"/>
      <c r="EF5" s="217"/>
      <c r="EG5" s="217"/>
      <c r="EH5" s="217"/>
      <c r="EI5" s="217"/>
      <c r="EJ5" s="217"/>
      <c r="EK5" s="217"/>
      <c r="EL5" s="217"/>
      <c r="EM5" s="217"/>
      <c r="EN5" s="217"/>
      <c r="EO5" s="217"/>
      <c r="EP5" s="217"/>
      <c r="EQ5" s="217"/>
      <c r="ER5" s="217"/>
      <c r="ES5" s="217"/>
      <c r="ET5" s="217"/>
      <c r="EU5" s="217"/>
      <c r="EV5" s="217"/>
      <c r="EW5" s="217"/>
      <c r="EX5" s="217"/>
      <c r="EY5" s="217"/>
      <c r="EZ5" s="217"/>
      <c r="FA5" s="217"/>
      <c r="FB5" s="217"/>
      <c r="FC5" s="217"/>
      <c r="FD5" s="217"/>
      <c r="FE5" s="217"/>
      <c r="FF5" s="217"/>
      <c r="FG5" s="217"/>
      <c r="FH5" s="217"/>
      <c r="FI5" s="217"/>
      <c r="FJ5" s="217"/>
      <c r="FK5" s="217"/>
      <c r="FL5" s="217"/>
      <c r="FM5" s="217"/>
      <c r="FN5" s="217"/>
      <c r="FO5" s="217"/>
      <c r="FP5" s="217"/>
      <c r="FQ5" s="217"/>
      <c r="FR5" s="217"/>
      <c r="FS5" s="217"/>
      <c r="FT5" s="217"/>
      <c r="FU5" s="217"/>
      <c r="FV5" s="217"/>
      <c r="FW5" s="217"/>
      <c r="FX5" s="217"/>
      <c r="FY5" s="217"/>
      <c r="FZ5" s="217"/>
      <c r="GA5" s="217"/>
      <c r="GB5" s="217"/>
      <c r="GC5" s="217"/>
      <c r="GD5" s="217"/>
      <c r="GE5" s="217"/>
      <c r="GF5" s="217"/>
      <c r="GG5" s="217"/>
      <c r="GH5" s="217"/>
      <c r="GI5" s="217"/>
      <c r="GJ5" s="217"/>
      <c r="GK5" s="217"/>
      <c r="GL5" s="217"/>
      <c r="GM5" s="217"/>
      <c r="GN5" s="217"/>
      <c r="GO5" s="217"/>
      <c r="GP5" s="217"/>
      <c r="GQ5" s="217"/>
      <c r="GR5" s="217"/>
      <c r="GS5" s="217"/>
      <c r="GT5" s="217"/>
      <c r="GU5" s="217"/>
      <c r="GV5" s="217"/>
      <c r="GW5" s="217"/>
      <c r="GX5" s="217"/>
      <c r="GY5" s="217"/>
      <c r="GZ5" s="217"/>
      <c r="HA5" s="217"/>
      <c r="HB5" s="217"/>
      <c r="HC5" s="217"/>
      <c r="HD5" s="217"/>
      <c r="HE5" s="217"/>
      <c r="HF5" s="217"/>
      <c r="HG5" s="217"/>
      <c r="HH5" s="217"/>
      <c r="HI5" s="217"/>
      <c r="HJ5" s="217"/>
    </row>
    <row r="6" spans="1:218" ht="15.75">
      <c r="A6" s="217"/>
      <c r="B6" s="218"/>
      <c r="C6" s="218"/>
      <c r="D6" s="892" t="s">
        <v>201</v>
      </c>
      <c r="E6" s="892"/>
      <c r="F6" s="892"/>
      <c r="G6" s="892"/>
      <c r="H6" s="598"/>
      <c r="I6" s="423" t="s">
        <v>168</v>
      </c>
      <c r="J6" s="232">
        <v>14579406</v>
      </c>
      <c r="K6" s="217"/>
      <c r="L6" s="218"/>
      <c r="M6" s="219"/>
      <c r="N6" s="217"/>
      <c r="O6" s="217"/>
      <c r="P6" s="217"/>
      <c r="Q6" s="217"/>
      <c r="R6" s="217"/>
      <c r="S6" s="217"/>
      <c r="T6" s="217"/>
      <c r="U6" s="217"/>
      <c r="V6" s="217"/>
      <c r="W6" s="217"/>
      <c r="X6" s="217"/>
      <c r="Y6" s="217"/>
      <c r="Z6" s="217"/>
      <c r="AA6" s="217"/>
      <c r="AB6" s="217"/>
      <c r="AC6" s="217"/>
      <c r="AD6" s="217"/>
      <c r="AE6" s="217"/>
      <c r="AF6" s="217"/>
      <c r="AG6" s="217"/>
      <c r="AH6" s="217"/>
      <c r="AI6" s="217"/>
      <c r="AJ6" s="217"/>
      <c r="AK6" s="217"/>
      <c r="AL6" s="217"/>
      <c r="AM6" s="217"/>
      <c r="AN6" s="217"/>
      <c r="AO6" s="217"/>
      <c r="AP6" s="217"/>
      <c r="AQ6" s="217"/>
      <c r="AR6" s="217"/>
      <c r="AS6" s="217"/>
      <c r="AT6" s="217"/>
      <c r="AU6" s="217"/>
      <c r="AV6" s="217"/>
      <c r="AW6" s="217"/>
      <c r="AX6" s="217"/>
      <c r="AY6" s="217"/>
      <c r="AZ6" s="217"/>
      <c r="BA6" s="217"/>
      <c r="BB6" s="217"/>
      <c r="BC6" s="217"/>
      <c r="BD6" s="217"/>
      <c r="BE6" s="217"/>
      <c r="BF6" s="217"/>
      <c r="BG6" s="217"/>
      <c r="BH6" s="217"/>
      <c r="BI6" s="217"/>
      <c r="BJ6" s="217"/>
      <c r="BK6" s="217"/>
      <c r="BL6" s="217"/>
      <c r="BM6" s="217"/>
      <c r="BN6" s="217"/>
      <c r="BO6" s="217"/>
      <c r="BP6" s="217"/>
      <c r="BQ6" s="217"/>
      <c r="BR6" s="217"/>
      <c r="BS6" s="217"/>
      <c r="BT6" s="217"/>
      <c r="BU6" s="217"/>
      <c r="BV6" s="217"/>
      <c r="BW6" s="217"/>
      <c r="BX6" s="217"/>
      <c r="BY6" s="217"/>
      <c r="BZ6" s="217"/>
      <c r="CA6" s="217"/>
      <c r="CB6" s="217"/>
      <c r="CC6" s="217"/>
      <c r="CD6" s="217"/>
      <c r="CE6" s="217"/>
      <c r="CF6" s="217"/>
      <c r="CG6" s="217"/>
      <c r="CH6" s="217"/>
      <c r="CI6" s="217"/>
      <c r="CJ6" s="217"/>
      <c r="CK6" s="217"/>
      <c r="CL6" s="217"/>
      <c r="CM6" s="217"/>
      <c r="CN6" s="217"/>
      <c r="CO6" s="217"/>
      <c r="CP6" s="217"/>
      <c r="CQ6" s="217"/>
      <c r="CR6" s="217"/>
      <c r="CS6" s="217"/>
      <c r="CT6" s="217"/>
      <c r="CU6" s="217"/>
      <c r="CV6" s="217"/>
      <c r="CW6" s="217"/>
      <c r="CX6" s="217"/>
      <c r="CY6" s="217"/>
      <c r="CZ6" s="217"/>
      <c r="DA6" s="217"/>
      <c r="DB6" s="217"/>
      <c r="DC6" s="217"/>
      <c r="DD6" s="217"/>
      <c r="DE6" s="217"/>
      <c r="DF6" s="217"/>
      <c r="DG6" s="217"/>
      <c r="DH6" s="217"/>
      <c r="DI6" s="217"/>
      <c r="DJ6" s="217"/>
      <c r="DK6" s="217"/>
      <c r="DL6" s="217"/>
      <c r="DM6" s="217"/>
      <c r="DN6" s="217"/>
      <c r="DO6" s="217"/>
      <c r="DP6" s="217"/>
      <c r="DQ6" s="217"/>
      <c r="DR6" s="217"/>
      <c r="DS6" s="217"/>
      <c r="DT6" s="217"/>
      <c r="DU6" s="217"/>
      <c r="DV6" s="217"/>
      <c r="DW6" s="217"/>
      <c r="DX6" s="217"/>
      <c r="DY6" s="217"/>
      <c r="DZ6" s="217"/>
      <c r="EA6" s="217"/>
      <c r="EB6" s="217"/>
      <c r="EC6" s="217"/>
      <c r="ED6" s="217"/>
      <c r="EE6" s="217"/>
      <c r="EF6" s="217"/>
      <c r="EG6" s="217"/>
      <c r="EH6" s="217"/>
      <c r="EI6" s="217"/>
      <c r="EJ6" s="217"/>
      <c r="EK6" s="217"/>
      <c r="EL6" s="217"/>
      <c r="EM6" s="217"/>
      <c r="EN6" s="217"/>
      <c r="EO6" s="217"/>
      <c r="EP6" s="217"/>
      <c r="EQ6" s="217"/>
      <c r="ER6" s="217"/>
      <c r="ES6" s="217"/>
      <c r="ET6" s="217"/>
      <c r="EU6" s="217"/>
      <c r="EV6" s="217"/>
      <c r="EW6" s="217"/>
      <c r="EX6" s="217"/>
      <c r="EY6" s="217"/>
      <c r="EZ6" s="217"/>
      <c r="FA6" s="217"/>
      <c r="FB6" s="217"/>
      <c r="FC6" s="217"/>
      <c r="FD6" s="217"/>
      <c r="FE6" s="217"/>
      <c r="FF6" s="217"/>
      <c r="FG6" s="217"/>
      <c r="FH6" s="217"/>
      <c r="FI6" s="217"/>
      <c r="FJ6" s="217"/>
      <c r="FK6" s="217"/>
      <c r="FL6" s="217"/>
      <c r="FM6" s="217"/>
      <c r="FN6" s="217"/>
      <c r="FO6" s="217"/>
      <c r="FP6" s="217"/>
      <c r="FQ6" s="217"/>
      <c r="FR6" s="217"/>
      <c r="FS6" s="217"/>
      <c r="FT6" s="217"/>
      <c r="FU6" s="217"/>
      <c r="FV6" s="217"/>
      <c r="FW6" s="217"/>
      <c r="FX6" s="217"/>
      <c r="FY6" s="217"/>
      <c r="FZ6" s="217"/>
      <c r="GA6" s="217"/>
      <c r="GB6" s="217"/>
      <c r="GC6" s="217"/>
      <c r="GD6" s="217"/>
      <c r="GE6" s="217"/>
      <c r="GF6" s="217"/>
      <c r="GG6" s="217"/>
      <c r="GH6" s="217"/>
      <c r="GI6" s="217"/>
      <c r="GJ6" s="217"/>
      <c r="GK6" s="217"/>
      <c r="GL6" s="217"/>
      <c r="GM6" s="217"/>
      <c r="GN6" s="217"/>
      <c r="GO6" s="217"/>
      <c r="GP6" s="217"/>
      <c r="GQ6" s="217"/>
      <c r="GR6" s="217"/>
      <c r="GS6" s="217"/>
      <c r="GT6" s="217"/>
      <c r="GU6" s="217"/>
      <c r="GV6" s="217"/>
      <c r="GW6" s="217"/>
      <c r="GX6" s="217"/>
      <c r="GY6" s="217"/>
      <c r="GZ6" s="217"/>
      <c r="HA6" s="217"/>
      <c r="HB6" s="217"/>
      <c r="HC6" s="217"/>
      <c r="HD6" s="217"/>
      <c r="HE6" s="217"/>
      <c r="HF6" s="217"/>
      <c r="HG6" s="217"/>
      <c r="HH6" s="217"/>
      <c r="HI6" s="217"/>
      <c r="HJ6" s="217"/>
    </row>
    <row r="7" spans="1:218" s="222" customFormat="1" ht="14.25" customHeight="1">
      <c r="A7" s="862" t="s">
        <v>4</v>
      </c>
      <c r="B7" s="862" t="s">
        <v>137</v>
      </c>
      <c r="C7" s="859" t="s">
        <v>147</v>
      </c>
      <c r="D7" s="862" t="s">
        <v>146</v>
      </c>
      <c r="E7" s="859" t="s">
        <v>289</v>
      </c>
      <c r="F7" s="859" t="s">
        <v>9</v>
      </c>
      <c r="G7" s="862" t="s">
        <v>9</v>
      </c>
      <c r="H7" s="204"/>
      <c r="I7" s="423" t="s">
        <v>573</v>
      </c>
      <c r="J7" s="232">
        <v>79785</v>
      </c>
      <c r="K7" s="204"/>
      <c r="L7" s="220"/>
      <c r="M7" s="220"/>
      <c r="N7" s="220"/>
      <c r="O7" s="204"/>
      <c r="P7" s="221"/>
      <c r="Q7" s="204"/>
      <c r="R7" s="204"/>
      <c r="S7" s="204"/>
      <c r="T7" s="204"/>
      <c r="U7" s="204"/>
      <c r="V7" s="204"/>
      <c r="W7" s="204"/>
      <c r="X7" s="204"/>
      <c r="Y7" s="204"/>
      <c r="Z7" s="204"/>
      <c r="AA7" s="204"/>
      <c r="AB7" s="204"/>
      <c r="AC7" s="204"/>
      <c r="AD7" s="204"/>
      <c r="AE7" s="204"/>
      <c r="AF7" s="204"/>
      <c r="AG7" s="204"/>
      <c r="AH7" s="204"/>
      <c r="AI7" s="204"/>
      <c r="AJ7" s="204"/>
      <c r="AK7" s="204"/>
      <c r="AL7" s="204"/>
      <c r="AM7" s="204"/>
      <c r="AN7" s="204"/>
      <c r="AO7" s="204"/>
      <c r="AP7" s="204"/>
      <c r="AQ7" s="204"/>
      <c r="AR7" s="204"/>
      <c r="AS7" s="204"/>
      <c r="AT7" s="204"/>
      <c r="AU7" s="204"/>
      <c r="AV7" s="204"/>
      <c r="AW7" s="204"/>
      <c r="AX7" s="204"/>
      <c r="AY7" s="204"/>
      <c r="AZ7" s="204"/>
      <c r="BA7" s="204"/>
      <c r="BB7" s="204"/>
      <c r="BC7" s="204"/>
      <c r="BD7" s="204"/>
      <c r="BE7" s="204"/>
      <c r="BF7" s="204"/>
      <c r="BG7" s="204"/>
      <c r="BH7" s="204"/>
      <c r="BI7" s="204"/>
      <c r="BJ7" s="204"/>
      <c r="BK7" s="204"/>
      <c r="BL7" s="204"/>
      <c r="BM7" s="204"/>
      <c r="BN7" s="204"/>
      <c r="BO7" s="204"/>
      <c r="BP7" s="204"/>
      <c r="BQ7" s="204"/>
      <c r="BR7" s="204"/>
      <c r="BS7" s="204"/>
      <c r="BT7" s="204"/>
      <c r="BU7" s="204"/>
      <c r="BV7" s="204"/>
      <c r="BW7" s="204"/>
      <c r="BX7" s="204"/>
      <c r="BY7" s="204"/>
      <c r="BZ7" s="204"/>
      <c r="CA7" s="204"/>
      <c r="CB7" s="204"/>
      <c r="CC7" s="204"/>
      <c r="CD7" s="204"/>
      <c r="CE7" s="204"/>
      <c r="CF7" s="204"/>
      <c r="CG7" s="204"/>
      <c r="CH7" s="204"/>
      <c r="CI7" s="204"/>
      <c r="CJ7" s="204"/>
      <c r="CK7" s="204"/>
      <c r="CL7" s="204"/>
      <c r="CM7" s="204"/>
      <c r="CN7" s="204"/>
      <c r="CO7" s="204"/>
      <c r="CP7" s="204"/>
      <c r="CQ7" s="204"/>
      <c r="CR7" s="204"/>
      <c r="CS7" s="204"/>
      <c r="CT7" s="204"/>
      <c r="CU7" s="204"/>
      <c r="CV7" s="204"/>
      <c r="CW7" s="204"/>
      <c r="CX7" s="204"/>
      <c r="CY7" s="204"/>
      <c r="CZ7" s="204"/>
      <c r="DA7" s="204"/>
      <c r="DB7" s="204"/>
      <c r="DC7" s="204"/>
      <c r="DD7" s="204"/>
      <c r="DE7" s="204"/>
      <c r="DF7" s="204"/>
      <c r="DG7" s="204"/>
      <c r="DH7" s="204"/>
      <c r="DI7" s="204"/>
      <c r="DJ7" s="204"/>
      <c r="DK7" s="204"/>
      <c r="DL7" s="204"/>
      <c r="DM7" s="204"/>
      <c r="DN7" s="204"/>
      <c r="DO7" s="204"/>
      <c r="DP7" s="204"/>
      <c r="DQ7" s="204"/>
      <c r="DR7" s="204"/>
      <c r="DS7" s="204"/>
      <c r="DT7" s="204"/>
      <c r="DU7" s="204"/>
      <c r="DV7" s="204"/>
      <c r="DW7" s="204"/>
      <c r="DX7" s="204"/>
      <c r="DY7" s="204"/>
      <c r="DZ7" s="204"/>
      <c r="EA7" s="204"/>
      <c r="EB7" s="204"/>
      <c r="EC7" s="204"/>
      <c r="ED7" s="204"/>
      <c r="EE7" s="204"/>
      <c r="EF7" s="204"/>
      <c r="EG7" s="204"/>
      <c r="EH7" s="204"/>
      <c r="EI7" s="204"/>
      <c r="EJ7" s="204"/>
      <c r="EK7" s="204"/>
      <c r="EL7" s="204"/>
      <c r="EM7" s="204"/>
      <c r="EN7" s="204"/>
      <c r="EO7" s="204"/>
      <c r="EP7" s="204"/>
      <c r="EQ7" s="204"/>
      <c r="ER7" s="204"/>
      <c r="ES7" s="204"/>
      <c r="ET7" s="204"/>
      <c r="EU7" s="204"/>
      <c r="EV7" s="204"/>
      <c r="EW7" s="204"/>
      <c r="EX7" s="204"/>
      <c r="EY7" s="204"/>
      <c r="EZ7" s="204"/>
      <c r="FA7" s="204"/>
      <c r="FB7" s="204"/>
      <c r="FC7" s="204"/>
      <c r="FD7" s="204"/>
      <c r="FE7" s="204"/>
      <c r="FF7" s="204"/>
      <c r="FG7" s="204"/>
      <c r="FH7" s="204"/>
      <c r="FI7" s="204"/>
      <c r="FJ7" s="204"/>
      <c r="FK7" s="204"/>
      <c r="FL7" s="204"/>
      <c r="FM7" s="204"/>
      <c r="FN7" s="204"/>
      <c r="FO7" s="204"/>
      <c r="FP7" s="204"/>
      <c r="FQ7" s="204"/>
      <c r="FR7" s="204"/>
      <c r="FS7" s="204"/>
      <c r="FT7" s="204"/>
      <c r="FU7" s="204"/>
      <c r="FV7" s="204"/>
      <c r="FW7" s="204"/>
      <c r="FX7" s="204"/>
      <c r="FY7" s="204"/>
      <c r="FZ7" s="204"/>
      <c r="GA7" s="204"/>
      <c r="GB7" s="204"/>
      <c r="GC7" s="204"/>
      <c r="GD7" s="204"/>
      <c r="GE7" s="204"/>
      <c r="GF7" s="204"/>
      <c r="GG7" s="204"/>
      <c r="GH7" s="204"/>
      <c r="GI7" s="204"/>
      <c r="GJ7" s="204"/>
      <c r="GK7" s="204"/>
      <c r="GL7" s="204"/>
      <c r="GM7" s="204"/>
      <c r="GN7" s="204"/>
      <c r="GO7" s="204"/>
      <c r="GP7" s="204"/>
      <c r="GQ7" s="204"/>
      <c r="GR7" s="204"/>
      <c r="GS7" s="204"/>
      <c r="GT7" s="204"/>
      <c r="GU7" s="204"/>
      <c r="GV7" s="204"/>
      <c r="GW7" s="204"/>
      <c r="GX7" s="204"/>
      <c r="GY7" s="204"/>
      <c r="GZ7" s="204"/>
      <c r="HA7" s="204"/>
      <c r="HB7" s="204"/>
      <c r="HC7" s="204"/>
      <c r="HD7" s="204"/>
      <c r="HE7" s="204"/>
      <c r="HF7" s="204"/>
      <c r="HG7" s="204"/>
      <c r="HH7" s="204"/>
      <c r="HI7" s="204"/>
      <c r="HJ7" s="204"/>
    </row>
    <row r="8" spans="1:218" s="222" customFormat="1" ht="35.25" customHeight="1">
      <c r="A8" s="862"/>
      <c r="B8" s="862"/>
      <c r="C8" s="860"/>
      <c r="D8" s="862"/>
      <c r="E8" s="860"/>
      <c r="F8" s="860"/>
      <c r="G8" s="862"/>
      <c r="H8" s="423" t="s">
        <v>578</v>
      </c>
      <c r="I8" s="423" t="s">
        <v>574</v>
      </c>
      <c r="J8" s="221">
        <f>J6-J7</f>
        <v>14499621</v>
      </c>
      <c r="K8" s="204"/>
      <c r="L8" s="223"/>
      <c r="M8" s="221"/>
      <c r="N8" s="221"/>
      <c r="O8" s="204"/>
      <c r="P8" s="204"/>
      <c r="Q8" s="204"/>
      <c r="R8" s="204"/>
      <c r="S8" s="204"/>
      <c r="T8" s="204"/>
      <c r="U8" s="204"/>
      <c r="V8" s="204"/>
      <c r="W8" s="204"/>
      <c r="X8" s="204"/>
      <c r="Y8" s="204"/>
      <c r="Z8" s="204"/>
      <c r="AA8" s="204"/>
      <c r="AB8" s="204"/>
      <c r="AC8" s="204"/>
      <c r="AD8" s="204"/>
      <c r="AE8" s="204"/>
      <c r="AF8" s="204"/>
      <c r="AG8" s="204"/>
      <c r="AH8" s="204"/>
      <c r="AI8" s="204"/>
      <c r="AJ8" s="204"/>
      <c r="AK8" s="204"/>
      <c r="AL8" s="204"/>
      <c r="AM8" s="204"/>
      <c r="AN8" s="204"/>
      <c r="AO8" s="204"/>
      <c r="AP8" s="204"/>
      <c r="AQ8" s="204"/>
      <c r="AR8" s="204"/>
      <c r="AS8" s="204"/>
      <c r="AT8" s="204"/>
      <c r="AU8" s="204"/>
      <c r="AV8" s="204"/>
      <c r="AW8" s="204"/>
      <c r="AX8" s="204"/>
      <c r="AY8" s="204"/>
      <c r="AZ8" s="204"/>
      <c r="BA8" s="204"/>
      <c r="BB8" s="204"/>
      <c r="BC8" s="204"/>
      <c r="BD8" s="204"/>
      <c r="BE8" s="204"/>
      <c r="BF8" s="204"/>
      <c r="BG8" s="204"/>
      <c r="BH8" s="204"/>
      <c r="BI8" s="204"/>
      <c r="BJ8" s="204"/>
      <c r="BK8" s="204"/>
      <c r="BL8" s="204"/>
      <c r="BM8" s="204"/>
      <c r="BN8" s="204"/>
      <c r="BO8" s="204"/>
      <c r="BP8" s="204"/>
      <c r="BQ8" s="204"/>
      <c r="BR8" s="204"/>
      <c r="BS8" s="204"/>
      <c r="BT8" s="204"/>
      <c r="BU8" s="204"/>
      <c r="BV8" s="204"/>
      <c r="BW8" s="204"/>
      <c r="BX8" s="204"/>
      <c r="BY8" s="204"/>
      <c r="BZ8" s="204"/>
      <c r="CA8" s="204"/>
      <c r="CB8" s="204"/>
      <c r="CC8" s="204"/>
      <c r="CD8" s="204"/>
      <c r="CE8" s="204"/>
      <c r="CF8" s="204"/>
      <c r="CG8" s="204"/>
      <c r="CH8" s="204"/>
      <c r="CI8" s="204"/>
      <c r="CJ8" s="204"/>
      <c r="CK8" s="204"/>
      <c r="CL8" s="204"/>
      <c r="CM8" s="204"/>
      <c r="CN8" s="204"/>
      <c r="CO8" s="204"/>
      <c r="CP8" s="204"/>
      <c r="CQ8" s="204"/>
      <c r="CR8" s="204"/>
      <c r="CS8" s="204"/>
      <c r="CT8" s="204"/>
      <c r="CU8" s="204"/>
      <c r="CV8" s="204"/>
      <c r="CW8" s="204"/>
      <c r="CX8" s="204"/>
      <c r="CY8" s="204"/>
      <c r="CZ8" s="204"/>
      <c r="DA8" s="204"/>
      <c r="DB8" s="204"/>
      <c r="DC8" s="204"/>
      <c r="DD8" s="204"/>
      <c r="DE8" s="204"/>
      <c r="DF8" s="204"/>
      <c r="DG8" s="204"/>
      <c r="DH8" s="204"/>
      <c r="DI8" s="204"/>
      <c r="DJ8" s="204"/>
      <c r="DK8" s="204"/>
      <c r="DL8" s="204"/>
      <c r="DM8" s="204"/>
      <c r="DN8" s="204"/>
      <c r="DO8" s="204"/>
      <c r="DP8" s="204"/>
      <c r="DQ8" s="204"/>
      <c r="DR8" s="204"/>
      <c r="DS8" s="204"/>
      <c r="DT8" s="204"/>
      <c r="DU8" s="204"/>
      <c r="DV8" s="204"/>
      <c r="DW8" s="204"/>
      <c r="DX8" s="204"/>
      <c r="DY8" s="204"/>
      <c r="DZ8" s="204"/>
      <c r="EA8" s="204"/>
      <c r="EB8" s="204"/>
      <c r="EC8" s="204"/>
      <c r="ED8" s="204"/>
      <c r="EE8" s="204"/>
      <c r="EF8" s="204"/>
      <c r="EG8" s="204"/>
      <c r="EH8" s="204"/>
      <c r="EI8" s="204"/>
      <c r="EJ8" s="204"/>
      <c r="EK8" s="204"/>
      <c r="EL8" s="204"/>
      <c r="EM8" s="204"/>
      <c r="EN8" s="204"/>
      <c r="EO8" s="204"/>
      <c r="EP8" s="204"/>
      <c r="EQ8" s="204"/>
      <c r="ER8" s="204"/>
      <c r="ES8" s="204"/>
      <c r="ET8" s="204"/>
      <c r="EU8" s="204"/>
      <c r="EV8" s="204"/>
      <c r="EW8" s="204"/>
      <c r="EX8" s="204"/>
      <c r="EY8" s="204"/>
      <c r="EZ8" s="204"/>
      <c r="FA8" s="204"/>
      <c r="FB8" s="204"/>
      <c r="FC8" s="204"/>
      <c r="FD8" s="204"/>
      <c r="FE8" s="204"/>
      <c r="FF8" s="204"/>
      <c r="FG8" s="204"/>
      <c r="FH8" s="204"/>
      <c r="FI8" s="204"/>
      <c r="FJ8" s="204"/>
      <c r="FK8" s="204"/>
      <c r="FL8" s="204"/>
      <c r="FM8" s="204"/>
      <c r="FN8" s="204"/>
      <c r="FO8" s="204"/>
      <c r="FP8" s="204"/>
      <c r="FQ8" s="204"/>
      <c r="FR8" s="204"/>
      <c r="FS8" s="204"/>
      <c r="FT8" s="204"/>
      <c r="FU8" s="204"/>
      <c r="FV8" s="204"/>
      <c r="FW8" s="204"/>
      <c r="FX8" s="204"/>
      <c r="FY8" s="204"/>
      <c r="FZ8" s="204"/>
      <c r="GA8" s="204"/>
      <c r="GB8" s="204"/>
      <c r="GC8" s="204"/>
      <c r="GD8" s="204"/>
      <c r="GE8" s="204"/>
      <c r="GF8" s="204"/>
      <c r="GG8" s="204"/>
      <c r="GH8" s="204"/>
      <c r="GI8" s="204"/>
      <c r="GJ8" s="204"/>
      <c r="GK8" s="204"/>
      <c r="GL8" s="204"/>
      <c r="GM8" s="204"/>
      <c r="GN8" s="204"/>
      <c r="GO8" s="204"/>
      <c r="GP8" s="204"/>
      <c r="GQ8" s="204"/>
      <c r="GR8" s="204"/>
      <c r="GS8" s="204"/>
      <c r="GT8" s="204"/>
      <c r="GU8" s="204"/>
      <c r="GV8" s="204"/>
      <c r="GW8" s="204"/>
      <c r="GX8" s="204"/>
      <c r="GY8" s="204"/>
      <c r="GZ8" s="204"/>
      <c r="HA8" s="204"/>
      <c r="HB8" s="204"/>
      <c r="HC8" s="204"/>
      <c r="HD8" s="204"/>
      <c r="HE8" s="204"/>
      <c r="HF8" s="204"/>
      <c r="HG8" s="204"/>
      <c r="HH8" s="204"/>
      <c r="HI8" s="204"/>
      <c r="HJ8" s="204"/>
    </row>
    <row r="9" spans="1:218" s="222" customFormat="1" ht="31.5" customHeight="1">
      <c r="A9" s="862"/>
      <c r="B9" s="862"/>
      <c r="C9" s="861"/>
      <c r="D9" s="862"/>
      <c r="E9" s="861"/>
      <c r="F9" s="861"/>
      <c r="G9" s="862"/>
      <c r="H9" s="221">
        <f>D31-D32-D33-D35-D34-D36-D42-D40-D41</f>
        <v>0</v>
      </c>
      <c r="I9" s="450">
        <v>10350000</v>
      </c>
      <c r="J9" s="450">
        <v>9100000</v>
      </c>
      <c r="K9" s="451">
        <f>I9-J9</f>
        <v>1250000</v>
      </c>
      <c r="L9" s="220"/>
      <c r="M9" s="221"/>
      <c r="N9" s="224"/>
      <c r="O9" s="221"/>
      <c r="P9" s="204"/>
      <c r="Q9" s="204"/>
      <c r="R9" s="204"/>
      <c r="S9" s="204"/>
      <c r="T9" s="204"/>
      <c r="U9" s="204"/>
      <c r="V9" s="204"/>
      <c r="W9" s="204"/>
      <c r="X9" s="204"/>
      <c r="Y9" s="204"/>
      <c r="Z9" s="204"/>
      <c r="AA9" s="204"/>
      <c r="AB9" s="204"/>
      <c r="AC9" s="204"/>
      <c r="AD9" s="204"/>
      <c r="AE9" s="204"/>
      <c r="AF9" s="204"/>
      <c r="AG9" s="204"/>
      <c r="AH9" s="204"/>
      <c r="AI9" s="204"/>
      <c r="AJ9" s="204"/>
      <c r="AK9" s="204"/>
      <c r="AL9" s="204"/>
      <c r="AM9" s="204"/>
      <c r="AN9" s="204"/>
      <c r="AO9" s="204"/>
      <c r="AP9" s="204"/>
      <c r="AQ9" s="204"/>
      <c r="AR9" s="204"/>
      <c r="AS9" s="204"/>
      <c r="AT9" s="204"/>
      <c r="AU9" s="204"/>
      <c r="AV9" s="204"/>
      <c r="AW9" s="204"/>
      <c r="AX9" s="204"/>
      <c r="AY9" s="204"/>
      <c r="AZ9" s="204"/>
      <c r="BA9" s="204"/>
      <c r="BB9" s="204"/>
      <c r="BC9" s="204"/>
      <c r="BD9" s="204"/>
      <c r="BE9" s="204"/>
      <c r="BF9" s="204"/>
      <c r="BG9" s="204"/>
      <c r="BH9" s="204"/>
      <c r="BI9" s="204"/>
      <c r="BJ9" s="204"/>
      <c r="BK9" s="204"/>
      <c r="BL9" s="204"/>
      <c r="BM9" s="204"/>
      <c r="BN9" s="204"/>
      <c r="BO9" s="204"/>
      <c r="BP9" s="204"/>
      <c r="BQ9" s="204"/>
      <c r="BR9" s="204"/>
      <c r="BS9" s="204"/>
      <c r="BT9" s="204"/>
      <c r="BU9" s="204"/>
      <c r="BV9" s="204"/>
      <c r="BW9" s="204"/>
      <c r="BX9" s="204"/>
      <c r="BY9" s="204"/>
      <c r="BZ9" s="204"/>
      <c r="CA9" s="204"/>
      <c r="CB9" s="204"/>
      <c r="CC9" s="204"/>
      <c r="CD9" s="204"/>
      <c r="CE9" s="204"/>
      <c r="CF9" s="204"/>
      <c r="CG9" s="204"/>
      <c r="CH9" s="204"/>
      <c r="CI9" s="204"/>
      <c r="CJ9" s="204"/>
      <c r="CK9" s="204"/>
      <c r="CL9" s="204"/>
      <c r="CM9" s="204"/>
      <c r="CN9" s="204"/>
      <c r="CO9" s="204"/>
      <c r="CP9" s="204"/>
      <c r="CQ9" s="204"/>
      <c r="CR9" s="204"/>
      <c r="CS9" s="204"/>
      <c r="CT9" s="204"/>
      <c r="CU9" s="204"/>
      <c r="CV9" s="204"/>
      <c r="CW9" s="204"/>
      <c r="CX9" s="204"/>
      <c r="CY9" s="204"/>
      <c r="CZ9" s="204"/>
      <c r="DA9" s="204"/>
      <c r="DB9" s="204"/>
      <c r="DC9" s="204"/>
      <c r="DD9" s="204"/>
      <c r="DE9" s="204"/>
      <c r="DF9" s="204"/>
      <c r="DG9" s="204"/>
      <c r="DH9" s="204"/>
      <c r="DI9" s="204"/>
      <c r="DJ9" s="204"/>
      <c r="DK9" s="204"/>
      <c r="DL9" s="204"/>
      <c r="DM9" s="204"/>
      <c r="DN9" s="204"/>
      <c r="DO9" s="204"/>
      <c r="DP9" s="204"/>
      <c r="DQ9" s="204"/>
      <c r="DR9" s="204"/>
      <c r="DS9" s="204"/>
      <c r="DT9" s="204"/>
      <c r="DU9" s="204"/>
      <c r="DV9" s="204"/>
      <c r="DW9" s="204"/>
      <c r="DX9" s="204"/>
      <c r="DY9" s="204"/>
      <c r="DZ9" s="204"/>
      <c r="EA9" s="204"/>
      <c r="EB9" s="204"/>
      <c r="EC9" s="204"/>
      <c r="ED9" s="204"/>
      <c r="EE9" s="204"/>
      <c r="EF9" s="204"/>
      <c r="EG9" s="204"/>
      <c r="EH9" s="204"/>
      <c r="EI9" s="204"/>
      <c r="EJ9" s="204"/>
      <c r="EK9" s="204"/>
      <c r="EL9" s="204"/>
      <c r="EM9" s="204"/>
      <c r="EN9" s="204"/>
      <c r="EO9" s="204"/>
      <c r="EP9" s="204"/>
      <c r="EQ9" s="204"/>
      <c r="ER9" s="204"/>
      <c r="ES9" s="204"/>
      <c r="ET9" s="204"/>
      <c r="EU9" s="204"/>
      <c r="EV9" s="204"/>
      <c r="EW9" s="204"/>
      <c r="EX9" s="204"/>
      <c r="EY9" s="204"/>
      <c r="EZ9" s="204"/>
      <c r="FA9" s="204"/>
      <c r="FB9" s="204"/>
      <c r="FC9" s="204"/>
      <c r="FD9" s="204"/>
      <c r="FE9" s="204"/>
      <c r="FF9" s="204"/>
      <c r="FG9" s="204"/>
      <c r="FH9" s="204"/>
      <c r="FI9" s="204"/>
      <c r="FJ9" s="204"/>
      <c r="FK9" s="204"/>
      <c r="FL9" s="204"/>
      <c r="FM9" s="204"/>
      <c r="FN9" s="204"/>
      <c r="FO9" s="204"/>
      <c r="FP9" s="204"/>
      <c r="FQ9" s="204"/>
      <c r="FR9" s="204"/>
      <c r="FS9" s="204"/>
      <c r="FT9" s="204"/>
      <c r="FU9" s="204"/>
      <c r="FV9" s="204"/>
      <c r="FW9" s="204"/>
      <c r="FX9" s="204"/>
      <c r="FY9" s="204"/>
      <c r="FZ9" s="204"/>
      <c r="GA9" s="204"/>
      <c r="GB9" s="204"/>
      <c r="GC9" s="204"/>
      <c r="GD9" s="204"/>
      <c r="GE9" s="204"/>
      <c r="GF9" s="204"/>
      <c r="GG9" s="204"/>
      <c r="GH9" s="204"/>
      <c r="GI9" s="204"/>
      <c r="GJ9" s="204"/>
      <c r="GK9" s="204"/>
      <c r="GL9" s="204"/>
      <c r="GM9" s="204"/>
      <c r="GN9" s="204"/>
      <c r="GO9" s="204"/>
      <c r="GP9" s="204"/>
      <c r="GQ9" s="204"/>
      <c r="GR9" s="204"/>
      <c r="GS9" s="204"/>
      <c r="GT9" s="204"/>
      <c r="GU9" s="204"/>
      <c r="GV9" s="204"/>
      <c r="GW9" s="204"/>
      <c r="GX9" s="204"/>
      <c r="GY9" s="204"/>
      <c r="GZ9" s="204"/>
      <c r="HA9" s="204"/>
      <c r="HB9" s="204"/>
      <c r="HC9" s="204"/>
      <c r="HD9" s="204"/>
      <c r="HE9" s="204"/>
      <c r="HF9" s="204"/>
      <c r="HG9" s="204"/>
      <c r="HH9" s="204"/>
      <c r="HI9" s="204"/>
      <c r="HJ9" s="204"/>
    </row>
    <row r="10" spans="1:218" s="222" customFormat="1" ht="21" customHeight="1">
      <c r="A10" s="225"/>
      <c r="B10" s="226" t="s">
        <v>138</v>
      </c>
      <c r="C10" s="239">
        <f>C11+C22</f>
        <v>0</v>
      </c>
      <c r="D10" s="239">
        <f>D11+D22</f>
        <v>0</v>
      </c>
      <c r="E10" s="315" t="e">
        <f>D10/C10</f>
        <v>#DIV/0!</v>
      </c>
      <c r="F10" s="449"/>
      <c r="G10" s="225"/>
      <c r="H10" s="221"/>
      <c r="I10" s="204">
        <f>I9*0.95</f>
        <v>9832500</v>
      </c>
      <c r="J10" s="204" t="e">
        <f>J22/D22</f>
        <v>#DIV/0!</v>
      </c>
      <c r="K10" s="204"/>
      <c r="L10" s="220"/>
      <c r="M10" s="221"/>
      <c r="N10" s="224"/>
      <c r="O10" s="221"/>
      <c r="P10" s="204"/>
      <c r="Q10" s="204"/>
      <c r="R10" s="204"/>
      <c r="S10" s="204"/>
      <c r="T10" s="204"/>
      <c r="U10" s="204"/>
      <c r="V10" s="204"/>
      <c r="W10" s="204"/>
      <c r="X10" s="204"/>
      <c r="Y10" s="204"/>
      <c r="Z10" s="204"/>
      <c r="AA10" s="204"/>
      <c r="AB10" s="204"/>
      <c r="AC10" s="204"/>
      <c r="AD10" s="204"/>
      <c r="AE10" s="204"/>
      <c r="AF10" s="204"/>
      <c r="AG10" s="204"/>
      <c r="AH10" s="204"/>
      <c r="AI10" s="204"/>
      <c r="AJ10" s="204"/>
      <c r="AK10" s="204"/>
      <c r="AL10" s="204"/>
      <c r="AM10" s="204"/>
      <c r="AN10" s="204"/>
      <c r="AO10" s="204"/>
      <c r="AP10" s="204"/>
      <c r="AQ10" s="204"/>
      <c r="AR10" s="204"/>
      <c r="AS10" s="204"/>
      <c r="AT10" s="204"/>
      <c r="AU10" s="204"/>
      <c r="AV10" s="204"/>
      <c r="AW10" s="204"/>
      <c r="AX10" s="204"/>
      <c r="AY10" s="204"/>
      <c r="AZ10" s="204"/>
      <c r="BA10" s="204"/>
      <c r="BB10" s="204"/>
      <c r="BC10" s="204"/>
      <c r="BD10" s="204"/>
      <c r="BE10" s="204"/>
      <c r="BF10" s="204"/>
      <c r="BG10" s="204"/>
      <c r="BH10" s="204"/>
      <c r="BI10" s="204"/>
      <c r="BJ10" s="204"/>
      <c r="BK10" s="204"/>
      <c r="BL10" s="204"/>
      <c r="BM10" s="204"/>
      <c r="BN10" s="204"/>
      <c r="BO10" s="204"/>
      <c r="BP10" s="204"/>
      <c r="BQ10" s="204"/>
      <c r="BR10" s="204"/>
      <c r="BS10" s="204"/>
      <c r="BT10" s="204"/>
      <c r="BU10" s="204"/>
      <c r="BV10" s="204"/>
      <c r="BW10" s="204"/>
      <c r="BX10" s="204"/>
      <c r="BY10" s="204"/>
      <c r="BZ10" s="204"/>
      <c r="CA10" s="204"/>
      <c r="CB10" s="204"/>
      <c r="CC10" s="204"/>
      <c r="CD10" s="204"/>
      <c r="CE10" s="204"/>
      <c r="CF10" s="204"/>
      <c r="CG10" s="204"/>
      <c r="CH10" s="204"/>
      <c r="CI10" s="204"/>
      <c r="CJ10" s="204"/>
      <c r="CK10" s="204"/>
      <c r="CL10" s="204"/>
      <c r="CM10" s="204"/>
      <c r="CN10" s="204"/>
      <c r="CO10" s="204"/>
      <c r="CP10" s="204"/>
      <c r="CQ10" s="204"/>
      <c r="CR10" s="204"/>
      <c r="CS10" s="204"/>
      <c r="CT10" s="204"/>
      <c r="CU10" s="204"/>
      <c r="CV10" s="204"/>
      <c r="CW10" s="204"/>
      <c r="CX10" s="204"/>
      <c r="CY10" s="204"/>
      <c r="CZ10" s="204"/>
      <c r="DA10" s="204"/>
      <c r="DB10" s="204"/>
      <c r="DC10" s="204"/>
      <c r="DD10" s="204"/>
      <c r="DE10" s="204"/>
      <c r="DF10" s="204"/>
      <c r="DG10" s="204"/>
      <c r="DH10" s="204"/>
      <c r="DI10" s="204"/>
      <c r="DJ10" s="204"/>
      <c r="DK10" s="204"/>
      <c r="DL10" s="204"/>
      <c r="DM10" s="204"/>
      <c r="DN10" s="204"/>
      <c r="DO10" s="204"/>
      <c r="DP10" s="204"/>
      <c r="DQ10" s="204"/>
      <c r="DR10" s="204"/>
      <c r="DS10" s="204"/>
      <c r="DT10" s="204"/>
      <c r="DU10" s="204"/>
      <c r="DV10" s="204"/>
      <c r="DW10" s="204"/>
      <c r="DX10" s="204"/>
      <c r="DY10" s="204"/>
      <c r="DZ10" s="204"/>
      <c r="EA10" s="204"/>
      <c r="EB10" s="204"/>
      <c r="EC10" s="204"/>
      <c r="ED10" s="204"/>
      <c r="EE10" s="204"/>
      <c r="EF10" s="204"/>
      <c r="EG10" s="204"/>
      <c r="EH10" s="204"/>
      <c r="EI10" s="204"/>
      <c r="EJ10" s="204"/>
      <c r="EK10" s="204"/>
      <c r="EL10" s="204"/>
      <c r="EM10" s="204"/>
      <c r="EN10" s="204"/>
      <c r="EO10" s="204"/>
      <c r="EP10" s="204"/>
      <c r="EQ10" s="204"/>
      <c r="ER10" s="204"/>
      <c r="ES10" s="204"/>
      <c r="ET10" s="204"/>
      <c r="EU10" s="204"/>
      <c r="EV10" s="204"/>
      <c r="EW10" s="204"/>
      <c r="EX10" s="204"/>
      <c r="EY10" s="204"/>
      <c r="EZ10" s="204"/>
      <c r="FA10" s="204"/>
      <c r="FB10" s="204"/>
      <c r="FC10" s="204"/>
      <c r="FD10" s="204"/>
      <c r="FE10" s="204"/>
      <c r="FF10" s="204"/>
      <c r="FG10" s="204"/>
      <c r="FH10" s="204"/>
      <c r="FI10" s="204"/>
      <c r="FJ10" s="204"/>
      <c r="FK10" s="204"/>
      <c r="FL10" s="204"/>
      <c r="FM10" s="204"/>
      <c r="FN10" s="204"/>
      <c r="FO10" s="204"/>
      <c r="FP10" s="204"/>
      <c r="FQ10" s="204"/>
      <c r="FR10" s="204"/>
      <c r="FS10" s="204"/>
      <c r="FT10" s="204"/>
      <c r="FU10" s="204"/>
      <c r="FV10" s="204"/>
      <c r="FW10" s="204"/>
      <c r="FX10" s="204"/>
      <c r="FY10" s="204"/>
      <c r="FZ10" s="204"/>
      <c r="GA10" s="204"/>
      <c r="GB10" s="204"/>
      <c r="GC10" s="204"/>
      <c r="GD10" s="204"/>
      <c r="GE10" s="204"/>
      <c r="GF10" s="204"/>
      <c r="GG10" s="204"/>
      <c r="GH10" s="204"/>
      <c r="GI10" s="204"/>
      <c r="GJ10" s="204"/>
      <c r="GK10" s="204"/>
      <c r="GL10" s="204"/>
      <c r="GM10" s="204"/>
      <c r="GN10" s="204"/>
      <c r="GO10" s="204"/>
      <c r="GP10" s="204"/>
      <c r="GQ10" s="204"/>
      <c r="GR10" s="204"/>
      <c r="GS10" s="204"/>
      <c r="GT10" s="204"/>
      <c r="GU10" s="204"/>
      <c r="GV10" s="204"/>
      <c r="GW10" s="204"/>
      <c r="GX10" s="204"/>
      <c r="GY10" s="204"/>
      <c r="GZ10" s="204"/>
      <c r="HA10" s="204"/>
      <c r="HB10" s="204"/>
      <c r="HC10" s="204"/>
      <c r="HD10" s="204"/>
      <c r="HE10" s="204"/>
      <c r="HF10" s="204"/>
      <c r="HG10" s="204"/>
      <c r="HH10" s="204"/>
      <c r="HI10" s="204"/>
      <c r="HJ10" s="204"/>
    </row>
    <row r="11" spans="1:218" s="227" customFormat="1" ht="20.45" customHeight="1">
      <c r="A11" s="48" t="s">
        <v>20</v>
      </c>
      <c r="B11" s="439" t="s">
        <v>139</v>
      </c>
      <c r="C11" s="440">
        <f>C12+C19</f>
        <v>0</v>
      </c>
      <c r="D11" s="440">
        <f>D12+D19</f>
        <v>0</v>
      </c>
      <c r="E11" s="429" t="e">
        <f t="shared" ref="E11:E19" si="0">D11/C11</f>
        <v>#DIV/0!</v>
      </c>
      <c r="F11" s="429"/>
      <c r="G11" s="441"/>
      <c r="I11" s="228">
        <f>I13-I12</f>
        <v>420000</v>
      </c>
      <c r="J11" s="228"/>
      <c r="L11" s="229"/>
      <c r="M11" s="228"/>
    </row>
    <row r="12" spans="1:218" s="222" customFormat="1" ht="18.600000000000001" customHeight="1">
      <c r="A12" s="431" t="s">
        <v>22</v>
      </c>
      <c r="B12" s="432" t="s">
        <v>103</v>
      </c>
      <c r="C12" s="442">
        <f>C13+C14+C15</f>
        <v>0</v>
      </c>
      <c r="D12" s="442">
        <f>D13+D14+D15</f>
        <v>0</v>
      </c>
      <c r="E12" s="434" t="e">
        <f t="shared" si="0"/>
        <v>#DIV/0!</v>
      </c>
      <c r="F12" s="434"/>
      <c r="G12" s="435"/>
      <c r="H12" s="228">
        <v>13356000</v>
      </c>
      <c r="I12" s="228">
        <v>10722200</v>
      </c>
      <c r="J12" s="228"/>
      <c r="K12" s="228"/>
      <c r="L12" s="229"/>
      <c r="M12" s="228"/>
      <c r="N12" s="227"/>
      <c r="O12" s="227"/>
      <c r="P12" s="227"/>
      <c r="Q12" s="227"/>
      <c r="R12" s="227"/>
      <c r="S12" s="227"/>
      <c r="T12" s="227"/>
      <c r="U12" s="227"/>
      <c r="V12" s="227"/>
      <c r="W12" s="227"/>
      <c r="X12" s="227"/>
      <c r="Y12" s="227"/>
      <c r="Z12" s="227"/>
      <c r="AA12" s="227"/>
      <c r="AB12" s="227"/>
      <c r="AC12" s="227"/>
      <c r="AD12" s="227"/>
      <c r="AE12" s="227"/>
      <c r="AF12" s="227"/>
      <c r="AG12" s="227"/>
      <c r="AH12" s="227"/>
      <c r="AI12" s="227"/>
      <c r="AJ12" s="227"/>
      <c r="AK12" s="227"/>
      <c r="AL12" s="227"/>
      <c r="AM12" s="227"/>
      <c r="AN12" s="227"/>
      <c r="AO12" s="227"/>
      <c r="AP12" s="227"/>
      <c r="AQ12" s="227"/>
      <c r="AR12" s="227"/>
      <c r="AS12" s="227"/>
      <c r="AT12" s="227"/>
      <c r="AU12" s="227"/>
      <c r="AV12" s="227"/>
      <c r="AW12" s="227"/>
      <c r="AX12" s="227"/>
      <c r="AY12" s="227"/>
      <c r="AZ12" s="227"/>
      <c r="BA12" s="227"/>
      <c r="BB12" s="227"/>
      <c r="BC12" s="227"/>
      <c r="BD12" s="227"/>
      <c r="BE12" s="227"/>
      <c r="BF12" s="227"/>
      <c r="BG12" s="227"/>
      <c r="BH12" s="227"/>
      <c r="BI12" s="227"/>
      <c r="BJ12" s="227"/>
      <c r="BK12" s="227"/>
      <c r="BL12" s="227"/>
      <c r="BM12" s="227"/>
      <c r="BN12" s="227"/>
      <c r="BO12" s="227"/>
      <c r="BP12" s="227"/>
      <c r="BQ12" s="227"/>
      <c r="BR12" s="227"/>
      <c r="BS12" s="227"/>
      <c r="BT12" s="227"/>
      <c r="BU12" s="227"/>
      <c r="BV12" s="227"/>
      <c r="BW12" s="227"/>
      <c r="BX12" s="227"/>
      <c r="BY12" s="227"/>
      <c r="BZ12" s="227"/>
      <c r="CA12" s="227"/>
      <c r="CB12" s="227"/>
      <c r="CC12" s="227"/>
      <c r="CD12" s="227"/>
      <c r="CE12" s="227"/>
      <c r="CF12" s="227"/>
      <c r="CG12" s="227"/>
      <c r="CH12" s="227"/>
      <c r="CI12" s="227"/>
      <c r="CJ12" s="227"/>
      <c r="CK12" s="227"/>
      <c r="CL12" s="227"/>
      <c r="CM12" s="227"/>
      <c r="CN12" s="227"/>
      <c r="CO12" s="227"/>
      <c r="CP12" s="227"/>
      <c r="CQ12" s="227"/>
      <c r="CR12" s="227"/>
      <c r="CS12" s="227"/>
      <c r="CT12" s="227"/>
      <c r="CU12" s="227"/>
      <c r="CV12" s="227"/>
      <c r="CW12" s="227"/>
      <c r="CX12" s="227"/>
      <c r="CY12" s="227"/>
      <c r="CZ12" s="227"/>
      <c r="DA12" s="227"/>
      <c r="DB12" s="227"/>
      <c r="DC12" s="227"/>
      <c r="DD12" s="227"/>
      <c r="DE12" s="227"/>
      <c r="DF12" s="227"/>
      <c r="DG12" s="227"/>
      <c r="DH12" s="227"/>
      <c r="DI12" s="227"/>
      <c r="DJ12" s="227"/>
      <c r="DK12" s="227"/>
      <c r="DL12" s="227"/>
      <c r="DM12" s="227"/>
      <c r="DN12" s="227"/>
      <c r="DO12" s="227"/>
      <c r="DP12" s="227"/>
      <c r="DQ12" s="227"/>
      <c r="DR12" s="227"/>
      <c r="DS12" s="227"/>
      <c r="DT12" s="227"/>
      <c r="DU12" s="227"/>
      <c r="DV12" s="227"/>
      <c r="DW12" s="227"/>
      <c r="DX12" s="227"/>
      <c r="DY12" s="227"/>
      <c r="DZ12" s="227"/>
      <c r="EA12" s="227"/>
      <c r="EB12" s="227"/>
      <c r="EC12" s="227"/>
      <c r="ED12" s="227"/>
      <c r="EE12" s="227"/>
      <c r="EF12" s="227"/>
      <c r="EG12" s="227"/>
      <c r="EH12" s="227"/>
      <c r="EI12" s="227"/>
      <c r="EJ12" s="227"/>
      <c r="EK12" s="227"/>
      <c r="EL12" s="227"/>
      <c r="EM12" s="227"/>
      <c r="EN12" s="227"/>
      <c r="EO12" s="227"/>
      <c r="EP12" s="227"/>
      <c r="EQ12" s="227"/>
      <c r="ER12" s="227"/>
      <c r="ES12" s="227"/>
      <c r="ET12" s="227"/>
      <c r="EU12" s="227"/>
      <c r="EV12" s="227"/>
      <c r="EW12" s="227"/>
      <c r="EX12" s="227"/>
      <c r="EY12" s="227"/>
      <c r="EZ12" s="227"/>
      <c r="FA12" s="227"/>
      <c r="FB12" s="227"/>
      <c r="FC12" s="227"/>
      <c r="FD12" s="227"/>
      <c r="FE12" s="227"/>
      <c r="FF12" s="227"/>
      <c r="FG12" s="227"/>
      <c r="FH12" s="227"/>
      <c r="FI12" s="227"/>
      <c r="FJ12" s="227"/>
      <c r="FK12" s="227"/>
      <c r="FL12" s="227"/>
      <c r="FM12" s="227"/>
      <c r="FN12" s="227"/>
      <c r="FO12" s="227"/>
      <c r="FP12" s="227"/>
      <c r="FQ12" s="227"/>
      <c r="FR12" s="227"/>
      <c r="FS12" s="227"/>
      <c r="FT12" s="227"/>
      <c r="FU12" s="227"/>
      <c r="FV12" s="227"/>
      <c r="FW12" s="227"/>
      <c r="FX12" s="227"/>
      <c r="FY12" s="227"/>
      <c r="FZ12" s="227"/>
      <c r="GA12" s="227"/>
      <c r="GB12" s="227"/>
      <c r="GC12" s="227"/>
      <c r="GD12" s="227"/>
      <c r="GE12" s="227"/>
      <c r="GF12" s="227"/>
      <c r="GG12" s="227"/>
      <c r="GH12" s="227"/>
      <c r="GI12" s="227"/>
      <c r="GJ12" s="227"/>
      <c r="GK12" s="227"/>
      <c r="GL12" s="227"/>
      <c r="GM12" s="227"/>
      <c r="GN12" s="227"/>
      <c r="GO12" s="227"/>
      <c r="GP12" s="227"/>
      <c r="GQ12" s="227"/>
      <c r="GR12" s="227"/>
      <c r="GS12" s="227"/>
      <c r="GT12" s="227"/>
      <c r="GU12" s="227"/>
      <c r="GV12" s="227"/>
      <c r="GW12" s="227"/>
      <c r="GX12" s="227"/>
      <c r="GY12" s="227"/>
      <c r="GZ12" s="227"/>
      <c r="HA12" s="227"/>
      <c r="HB12" s="227"/>
      <c r="HC12" s="227"/>
      <c r="HD12" s="227"/>
      <c r="HE12" s="227"/>
      <c r="HF12" s="227"/>
      <c r="HG12" s="227"/>
      <c r="HH12" s="227"/>
      <c r="HI12" s="227"/>
      <c r="HJ12" s="227"/>
    </row>
    <row r="13" spans="1:218" s="222" customFormat="1" ht="18" customHeight="1">
      <c r="A13" s="103">
        <v>1</v>
      </c>
      <c r="B13" s="104" t="s">
        <v>148</v>
      </c>
      <c r="C13" s="175"/>
      <c r="D13" s="230"/>
      <c r="E13" s="316" t="e">
        <f t="shared" si="0"/>
        <v>#DIV/0!</v>
      </c>
      <c r="F13" s="316"/>
      <c r="G13" s="246"/>
      <c r="H13" s="232">
        <f>H12-D12</f>
        <v>13356000</v>
      </c>
      <c r="I13" s="232">
        <v>11142200</v>
      </c>
      <c r="L13" s="233"/>
      <c r="M13" s="232"/>
    </row>
    <row r="14" spans="1:218" s="222" customFormat="1" ht="15.75">
      <c r="A14" s="103">
        <v>2</v>
      </c>
      <c r="B14" s="104" t="s">
        <v>149</v>
      </c>
      <c r="C14" s="175"/>
      <c r="D14" s="230"/>
      <c r="E14" s="316" t="e">
        <f t="shared" si="0"/>
        <v>#DIV/0!</v>
      </c>
      <c r="F14" s="316"/>
      <c r="G14" s="246"/>
      <c r="H14" s="232">
        <f>D13-C13</f>
        <v>0</v>
      </c>
      <c r="I14" s="232">
        <f>I12-D13</f>
        <v>10722200</v>
      </c>
      <c r="L14" s="233"/>
      <c r="M14" s="232"/>
    </row>
    <row r="15" spans="1:218" s="222" customFormat="1" ht="18" customHeight="1">
      <c r="A15" s="103">
        <v>3</v>
      </c>
      <c r="B15" s="104" t="s">
        <v>105</v>
      </c>
      <c r="C15" s="175"/>
      <c r="D15" s="230">
        <f>D16+D17+D18</f>
        <v>0</v>
      </c>
      <c r="E15" s="316" t="e">
        <f t="shared" si="0"/>
        <v>#DIV/0!</v>
      </c>
      <c r="F15" s="316"/>
      <c r="G15" s="231"/>
      <c r="H15" s="232"/>
      <c r="I15" s="705" t="e">
        <f>D13/C13</f>
        <v>#DIV/0!</v>
      </c>
      <c r="L15" s="233"/>
      <c r="M15" s="232"/>
    </row>
    <row r="16" spans="1:218" s="237" customFormat="1" ht="15.75">
      <c r="A16" s="112" t="s">
        <v>53</v>
      </c>
      <c r="B16" s="178" t="s">
        <v>106</v>
      </c>
      <c r="C16" s="179"/>
      <c r="D16" s="234"/>
      <c r="E16" s="317" t="e">
        <f t="shared" si="0"/>
        <v>#DIV/0!</v>
      </c>
      <c r="F16" s="317"/>
      <c r="G16" s="235"/>
      <c r="H16" s="236">
        <f>D16*1.5</f>
        <v>0</v>
      </c>
      <c r="I16" s="236"/>
      <c r="L16" s="238"/>
      <c r="M16" s="236"/>
    </row>
    <row r="17" spans="1:218" s="237" customFormat="1" ht="15.75">
      <c r="A17" s="103" t="s">
        <v>53</v>
      </c>
      <c r="B17" s="180" t="s">
        <v>107</v>
      </c>
      <c r="C17" s="179"/>
      <c r="D17" s="234"/>
      <c r="E17" s="317" t="e">
        <f t="shared" si="0"/>
        <v>#DIV/0!</v>
      </c>
      <c r="F17" s="317"/>
      <c r="G17" s="235"/>
      <c r="I17" s="706" t="e">
        <f>D14/D22</f>
        <v>#DIV/0!</v>
      </c>
      <c r="L17" s="238"/>
      <c r="M17" s="236"/>
    </row>
    <row r="18" spans="1:218" s="237" customFormat="1" ht="15.75">
      <c r="A18" s="103" t="s">
        <v>53</v>
      </c>
      <c r="B18" s="181" t="s">
        <v>108</v>
      </c>
      <c r="C18" s="179"/>
      <c r="D18" s="179"/>
      <c r="E18" s="317" t="e">
        <f t="shared" si="0"/>
        <v>#DIV/0!</v>
      </c>
      <c r="F18" s="317"/>
      <c r="G18" s="235"/>
      <c r="I18" s="236"/>
      <c r="L18" s="238"/>
      <c r="M18" s="236"/>
    </row>
    <row r="19" spans="1:218" s="222" customFormat="1" ht="15.75">
      <c r="A19" s="443" t="s">
        <v>66</v>
      </c>
      <c r="B19" s="444" t="s">
        <v>110</v>
      </c>
      <c r="C19" s="445"/>
      <c r="D19" s="446">
        <f>D20+D21</f>
        <v>0</v>
      </c>
      <c r="E19" s="447" t="e">
        <f t="shared" si="0"/>
        <v>#DIV/0!</v>
      </c>
      <c r="F19" s="447"/>
      <c r="G19" s="246"/>
      <c r="H19" s="227"/>
      <c r="I19" s="227"/>
      <c r="J19" s="227"/>
      <c r="K19" s="227"/>
      <c r="L19" s="227"/>
      <c r="M19" s="227"/>
      <c r="N19" s="227"/>
      <c r="O19" s="227"/>
      <c r="P19" s="227"/>
      <c r="Q19" s="227"/>
      <c r="R19" s="227"/>
      <c r="S19" s="227"/>
      <c r="T19" s="227"/>
      <c r="U19" s="227"/>
      <c r="V19" s="227"/>
      <c r="W19" s="227"/>
      <c r="X19" s="227"/>
      <c r="Y19" s="227"/>
      <c r="Z19" s="227"/>
      <c r="AA19" s="227"/>
      <c r="AB19" s="227"/>
      <c r="AC19" s="227"/>
      <c r="AD19" s="227"/>
      <c r="AE19" s="227"/>
      <c r="AF19" s="227"/>
      <c r="AG19" s="227"/>
      <c r="AH19" s="227"/>
      <c r="AI19" s="227"/>
      <c r="AJ19" s="227"/>
      <c r="AK19" s="227"/>
      <c r="AL19" s="227"/>
      <c r="AM19" s="227"/>
      <c r="AN19" s="227"/>
      <c r="AO19" s="227"/>
      <c r="AP19" s="227"/>
      <c r="AQ19" s="227"/>
      <c r="AR19" s="227"/>
      <c r="AS19" s="227"/>
      <c r="AT19" s="227"/>
      <c r="AU19" s="227"/>
      <c r="AV19" s="227"/>
      <c r="AW19" s="227"/>
      <c r="AX19" s="227"/>
      <c r="AY19" s="227"/>
      <c r="AZ19" s="227"/>
      <c r="BA19" s="227"/>
      <c r="BB19" s="227"/>
      <c r="BC19" s="227"/>
      <c r="BD19" s="227"/>
      <c r="BE19" s="227"/>
      <c r="BF19" s="227"/>
      <c r="BG19" s="227"/>
      <c r="BH19" s="227"/>
      <c r="BI19" s="227"/>
      <c r="BJ19" s="227"/>
      <c r="BK19" s="227"/>
      <c r="BL19" s="227"/>
      <c r="BM19" s="227"/>
      <c r="BN19" s="227"/>
      <c r="BO19" s="227"/>
      <c r="BP19" s="227"/>
      <c r="BQ19" s="227"/>
      <c r="BR19" s="227"/>
      <c r="BS19" s="227"/>
      <c r="BT19" s="227"/>
      <c r="BU19" s="227"/>
      <c r="BV19" s="227"/>
      <c r="BW19" s="227"/>
      <c r="BX19" s="227"/>
      <c r="BY19" s="227"/>
      <c r="BZ19" s="227"/>
      <c r="CA19" s="227"/>
      <c r="CB19" s="227"/>
      <c r="CC19" s="227"/>
      <c r="CD19" s="227"/>
      <c r="CE19" s="227"/>
      <c r="CF19" s="227"/>
      <c r="CG19" s="227"/>
      <c r="CH19" s="227"/>
      <c r="CI19" s="227"/>
      <c r="CJ19" s="227"/>
      <c r="CK19" s="227"/>
      <c r="CL19" s="227"/>
      <c r="CM19" s="227"/>
      <c r="CN19" s="227"/>
      <c r="CO19" s="227"/>
      <c r="CP19" s="227"/>
      <c r="CQ19" s="227"/>
      <c r="CR19" s="227"/>
      <c r="CS19" s="227"/>
      <c r="CT19" s="227"/>
      <c r="CU19" s="227"/>
      <c r="CV19" s="227"/>
      <c r="CW19" s="227"/>
      <c r="CX19" s="227"/>
      <c r="CY19" s="227"/>
      <c r="CZ19" s="227"/>
      <c r="DA19" s="227"/>
      <c r="DB19" s="227"/>
      <c r="DC19" s="227"/>
      <c r="DD19" s="227"/>
      <c r="DE19" s="227"/>
      <c r="DF19" s="227"/>
      <c r="DG19" s="227"/>
      <c r="DH19" s="227"/>
      <c r="DI19" s="227"/>
      <c r="DJ19" s="227"/>
      <c r="DK19" s="227"/>
      <c r="DL19" s="227"/>
      <c r="DM19" s="227"/>
      <c r="DN19" s="227"/>
      <c r="DO19" s="227"/>
      <c r="DP19" s="227"/>
      <c r="DQ19" s="227"/>
      <c r="DR19" s="227"/>
      <c r="DS19" s="227"/>
      <c r="DT19" s="227"/>
      <c r="DU19" s="227"/>
      <c r="DV19" s="227"/>
      <c r="DW19" s="227"/>
      <c r="DX19" s="227"/>
      <c r="DY19" s="227"/>
      <c r="DZ19" s="227"/>
      <c r="EA19" s="227"/>
      <c r="EB19" s="227"/>
      <c r="EC19" s="227"/>
      <c r="ED19" s="227"/>
      <c r="EE19" s="227"/>
      <c r="EF19" s="227"/>
      <c r="EG19" s="227"/>
      <c r="EH19" s="227"/>
      <c r="EI19" s="227"/>
      <c r="EJ19" s="227"/>
      <c r="EK19" s="227"/>
      <c r="EL19" s="227"/>
      <c r="EM19" s="227"/>
      <c r="EN19" s="227"/>
      <c r="EO19" s="227"/>
      <c r="EP19" s="227"/>
      <c r="EQ19" s="227"/>
      <c r="ER19" s="227"/>
      <c r="ES19" s="227"/>
      <c r="ET19" s="227"/>
      <c r="EU19" s="227"/>
      <c r="EV19" s="227"/>
      <c r="EW19" s="227"/>
      <c r="EX19" s="227"/>
      <c r="EY19" s="227"/>
      <c r="EZ19" s="227"/>
      <c r="FA19" s="227"/>
      <c r="FB19" s="227"/>
      <c r="FC19" s="227"/>
      <c r="FD19" s="227"/>
      <c r="FE19" s="227"/>
      <c r="FF19" s="227"/>
      <c r="FG19" s="227"/>
      <c r="FH19" s="227"/>
      <c r="FI19" s="227"/>
      <c r="FJ19" s="227"/>
      <c r="FK19" s="227"/>
      <c r="FL19" s="227"/>
      <c r="FM19" s="227"/>
      <c r="FN19" s="227"/>
      <c r="FO19" s="227"/>
      <c r="FP19" s="227"/>
      <c r="FQ19" s="227"/>
      <c r="FR19" s="227"/>
      <c r="FS19" s="227"/>
      <c r="FT19" s="227"/>
      <c r="FU19" s="227"/>
      <c r="FV19" s="227"/>
      <c r="FW19" s="227"/>
      <c r="FX19" s="227"/>
      <c r="FY19" s="227"/>
      <c r="FZ19" s="227"/>
      <c r="GA19" s="227"/>
      <c r="GB19" s="227"/>
      <c r="GC19" s="227"/>
      <c r="GD19" s="227"/>
      <c r="GE19" s="227"/>
      <c r="GF19" s="227"/>
      <c r="GG19" s="227"/>
      <c r="GH19" s="227"/>
      <c r="GI19" s="227"/>
      <c r="GJ19" s="227"/>
      <c r="GK19" s="227"/>
      <c r="GL19" s="227"/>
      <c r="GM19" s="227"/>
      <c r="GN19" s="227"/>
      <c r="GO19" s="227"/>
      <c r="GP19" s="227"/>
      <c r="GQ19" s="227"/>
      <c r="GR19" s="227"/>
      <c r="GS19" s="227"/>
      <c r="GT19" s="227"/>
      <c r="GU19" s="227"/>
      <c r="GV19" s="227"/>
      <c r="GW19" s="227"/>
      <c r="GX19" s="227"/>
      <c r="GY19" s="227"/>
      <c r="GZ19" s="227"/>
      <c r="HA19" s="227"/>
      <c r="HB19" s="227"/>
      <c r="HC19" s="227"/>
      <c r="HD19" s="227"/>
      <c r="HE19" s="227"/>
      <c r="HF19" s="227"/>
      <c r="HG19" s="227"/>
      <c r="HH19" s="227"/>
      <c r="HI19" s="227"/>
      <c r="HJ19" s="227"/>
    </row>
    <row r="20" spans="1:218" s="222" customFormat="1" ht="31.5">
      <c r="A20" s="103">
        <v>1</v>
      </c>
      <c r="B20" s="104" t="s">
        <v>577</v>
      </c>
      <c r="C20" s="496"/>
      <c r="D20" s="230"/>
      <c r="E20" s="497"/>
      <c r="F20" s="497"/>
      <c r="G20" s="498"/>
      <c r="H20" s="227"/>
      <c r="I20" s="227"/>
      <c r="J20" s="227"/>
      <c r="K20" s="227"/>
      <c r="L20" s="227"/>
      <c r="M20" s="227"/>
      <c r="N20" s="227"/>
      <c r="O20" s="227"/>
      <c r="P20" s="227"/>
      <c r="Q20" s="227"/>
      <c r="R20" s="227"/>
      <c r="S20" s="227"/>
      <c r="T20" s="227"/>
      <c r="U20" s="227"/>
      <c r="V20" s="227"/>
      <c r="W20" s="227"/>
      <c r="X20" s="227"/>
      <c r="Y20" s="227"/>
      <c r="Z20" s="227"/>
      <c r="AA20" s="227"/>
      <c r="AB20" s="227"/>
      <c r="AC20" s="227"/>
      <c r="AD20" s="227"/>
      <c r="AE20" s="227"/>
      <c r="AF20" s="227"/>
      <c r="AG20" s="227"/>
      <c r="AH20" s="227"/>
      <c r="AI20" s="227"/>
      <c r="AJ20" s="227"/>
      <c r="AK20" s="227"/>
      <c r="AL20" s="227"/>
      <c r="AM20" s="227"/>
      <c r="AN20" s="227"/>
      <c r="AO20" s="227"/>
      <c r="AP20" s="227"/>
      <c r="AQ20" s="227"/>
      <c r="AR20" s="227"/>
      <c r="AS20" s="227"/>
      <c r="AT20" s="227"/>
      <c r="AU20" s="227"/>
      <c r="AV20" s="227"/>
      <c r="AW20" s="227"/>
      <c r="AX20" s="227"/>
      <c r="AY20" s="227"/>
      <c r="AZ20" s="227"/>
      <c r="BA20" s="227"/>
      <c r="BB20" s="227"/>
      <c r="BC20" s="227"/>
      <c r="BD20" s="227"/>
      <c r="BE20" s="227"/>
      <c r="BF20" s="227"/>
      <c r="BG20" s="227"/>
      <c r="BH20" s="227"/>
      <c r="BI20" s="227"/>
      <c r="BJ20" s="227"/>
      <c r="BK20" s="227"/>
      <c r="BL20" s="227"/>
      <c r="BM20" s="227"/>
      <c r="BN20" s="227"/>
      <c r="BO20" s="227"/>
      <c r="BP20" s="227"/>
      <c r="BQ20" s="227"/>
      <c r="BR20" s="227"/>
      <c r="BS20" s="227"/>
      <c r="BT20" s="227"/>
      <c r="BU20" s="227"/>
      <c r="BV20" s="227"/>
      <c r="BW20" s="227"/>
      <c r="BX20" s="227"/>
      <c r="BY20" s="227"/>
      <c r="BZ20" s="227"/>
      <c r="CA20" s="227"/>
      <c r="CB20" s="227"/>
      <c r="CC20" s="227"/>
      <c r="CD20" s="227"/>
      <c r="CE20" s="227"/>
      <c r="CF20" s="227"/>
      <c r="CG20" s="227"/>
      <c r="CH20" s="227"/>
      <c r="CI20" s="227"/>
      <c r="CJ20" s="227"/>
      <c r="CK20" s="227"/>
      <c r="CL20" s="227"/>
      <c r="CM20" s="227"/>
      <c r="CN20" s="227"/>
      <c r="CO20" s="227"/>
      <c r="CP20" s="227"/>
      <c r="CQ20" s="227"/>
      <c r="CR20" s="227"/>
      <c r="CS20" s="227"/>
      <c r="CT20" s="227"/>
      <c r="CU20" s="227"/>
      <c r="CV20" s="227"/>
      <c r="CW20" s="227"/>
      <c r="CX20" s="227"/>
      <c r="CY20" s="227"/>
      <c r="CZ20" s="227"/>
      <c r="DA20" s="227"/>
      <c r="DB20" s="227"/>
      <c r="DC20" s="227"/>
      <c r="DD20" s="227"/>
      <c r="DE20" s="227"/>
      <c r="DF20" s="227"/>
      <c r="DG20" s="227"/>
      <c r="DH20" s="227"/>
      <c r="DI20" s="227"/>
      <c r="DJ20" s="227"/>
      <c r="DK20" s="227"/>
      <c r="DL20" s="227"/>
      <c r="DM20" s="227"/>
      <c r="DN20" s="227"/>
      <c r="DO20" s="227"/>
      <c r="DP20" s="227"/>
      <c r="DQ20" s="227"/>
      <c r="DR20" s="227"/>
      <c r="DS20" s="227"/>
      <c r="DT20" s="227"/>
      <c r="DU20" s="227"/>
      <c r="DV20" s="227"/>
      <c r="DW20" s="227"/>
      <c r="DX20" s="227"/>
      <c r="DY20" s="227"/>
      <c r="DZ20" s="227"/>
      <c r="EA20" s="227"/>
      <c r="EB20" s="227"/>
      <c r="EC20" s="227"/>
      <c r="ED20" s="227"/>
      <c r="EE20" s="227"/>
      <c r="EF20" s="227"/>
      <c r="EG20" s="227"/>
      <c r="EH20" s="227"/>
      <c r="EI20" s="227"/>
      <c r="EJ20" s="227"/>
      <c r="EK20" s="227"/>
      <c r="EL20" s="227"/>
      <c r="EM20" s="227"/>
      <c r="EN20" s="227"/>
      <c r="EO20" s="227"/>
      <c r="EP20" s="227"/>
      <c r="EQ20" s="227"/>
      <c r="ER20" s="227"/>
      <c r="ES20" s="227"/>
      <c r="ET20" s="227"/>
      <c r="EU20" s="227"/>
      <c r="EV20" s="227"/>
      <c r="EW20" s="227"/>
      <c r="EX20" s="227"/>
      <c r="EY20" s="227"/>
      <c r="EZ20" s="227"/>
      <c r="FA20" s="227"/>
      <c r="FB20" s="227"/>
      <c r="FC20" s="227"/>
      <c r="FD20" s="227"/>
      <c r="FE20" s="227"/>
      <c r="FF20" s="227"/>
      <c r="FG20" s="227"/>
      <c r="FH20" s="227"/>
      <c r="FI20" s="227"/>
      <c r="FJ20" s="227"/>
      <c r="FK20" s="227"/>
      <c r="FL20" s="227"/>
      <c r="FM20" s="227"/>
      <c r="FN20" s="227"/>
      <c r="FO20" s="227"/>
      <c r="FP20" s="227"/>
      <c r="FQ20" s="227"/>
      <c r="FR20" s="227"/>
      <c r="FS20" s="227"/>
      <c r="FT20" s="227"/>
      <c r="FU20" s="227"/>
      <c r="FV20" s="227"/>
      <c r="FW20" s="227"/>
      <c r="FX20" s="227"/>
      <c r="FY20" s="227"/>
      <c r="FZ20" s="227"/>
      <c r="GA20" s="227"/>
      <c r="GB20" s="227"/>
      <c r="GC20" s="227"/>
      <c r="GD20" s="227"/>
      <c r="GE20" s="227"/>
      <c r="GF20" s="227"/>
      <c r="GG20" s="227"/>
      <c r="GH20" s="227"/>
      <c r="GI20" s="227"/>
      <c r="GJ20" s="227"/>
      <c r="GK20" s="227"/>
      <c r="GL20" s="227"/>
      <c r="GM20" s="227"/>
      <c r="GN20" s="227"/>
      <c r="GO20" s="227"/>
      <c r="GP20" s="227"/>
      <c r="GQ20" s="227"/>
      <c r="GR20" s="227"/>
      <c r="GS20" s="227"/>
      <c r="GT20" s="227"/>
      <c r="GU20" s="227"/>
      <c r="GV20" s="227"/>
      <c r="GW20" s="227"/>
      <c r="GX20" s="227"/>
      <c r="GY20" s="227"/>
      <c r="GZ20" s="227"/>
      <c r="HA20" s="227"/>
      <c r="HB20" s="227"/>
      <c r="HC20" s="227"/>
      <c r="HD20" s="227"/>
      <c r="HE20" s="227"/>
      <c r="HF20" s="227"/>
      <c r="HG20" s="227"/>
      <c r="HH20" s="227"/>
      <c r="HI20" s="227"/>
      <c r="HJ20" s="227"/>
    </row>
    <row r="21" spans="1:218" s="222" customFormat="1" ht="15.75">
      <c r="A21" s="103">
        <v>2</v>
      </c>
      <c r="B21" s="104" t="s">
        <v>662</v>
      </c>
      <c r="C21" s="496"/>
      <c r="D21" s="230"/>
      <c r="E21" s="497"/>
      <c r="F21" s="497"/>
      <c r="G21" s="498"/>
      <c r="H21" s="227"/>
      <c r="I21" s="227"/>
      <c r="J21" s="227"/>
      <c r="K21" s="227"/>
      <c r="L21" s="227"/>
      <c r="M21" s="228">
        <f>D26-D33</f>
        <v>0</v>
      </c>
      <c r="N21" s="227"/>
      <c r="O21" s="227"/>
      <c r="P21" s="227"/>
      <c r="Q21" s="227"/>
      <c r="R21" s="227"/>
      <c r="S21" s="227"/>
      <c r="T21" s="227"/>
      <c r="U21" s="227"/>
      <c r="V21" s="227"/>
      <c r="W21" s="227"/>
      <c r="X21" s="227"/>
      <c r="Y21" s="227"/>
      <c r="Z21" s="227"/>
      <c r="AA21" s="227"/>
      <c r="AB21" s="227"/>
      <c r="AC21" s="227"/>
      <c r="AD21" s="227"/>
      <c r="AE21" s="227"/>
      <c r="AF21" s="227"/>
      <c r="AG21" s="227"/>
      <c r="AH21" s="227"/>
      <c r="AI21" s="227"/>
      <c r="AJ21" s="227"/>
      <c r="AK21" s="227"/>
      <c r="AL21" s="227"/>
      <c r="AM21" s="227"/>
      <c r="AN21" s="227"/>
      <c r="AO21" s="227"/>
      <c r="AP21" s="227"/>
      <c r="AQ21" s="227"/>
      <c r="AR21" s="227"/>
      <c r="AS21" s="227"/>
      <c r="AT21" s="227"/>
      <c r="AU21" s="227"/>
      <c r="AV21" s="227"/>
      <c r="AW21" s="227"/>
      <c r="AX21" s="227"/>
      <c r="AY21" s="227"/>
      <c r="AZ21" s="227"/>
      <c r="BA21" s="227"/>
      <c r="BB21" s="227"/>
      <c r="BC21" s="227"/>
      <c r="BD21" s="227"/>
      <c r="BE21" s="227"/>
      <c r="BF21" s="227"/>
      <c r="BG21" s="227"/>
      <c r="BH21" s="227"/>
      <c r="BI21" s="227"/>
      <c r="BJ21" s="227"/>
      <c r="BK21" s="227"/>
      <c r="BL21" s="227"/>
      <c r="BM21" s="227"/>
      <c r="BN21" s="227"/>
      <c r="BO21" s="227"/>
      <c r="BP21" s="227"/>
      <c r="BQ21" s="227"/>
      <c r="BR21" s="227"/>
      <c r="BS21" s="227"/>
      <c r="BT21" s="227"/>
      <c r="BU21" s="227"/>
      <c r="BV21" s="227"/>
      <c r="BW21" s="227"/>
      <c r="BX21" s="227"/>
      <c r="BY21" s="227"/>
      <c r="BZ21" s="227"/>
      <c r="CA21" s="227"/>
      <c r="CB21" s="227"/>
      <c r="CC21" s="227"/>
      <c r="CD21" s="227"/>
      <c r="CE21" s="227"/>
      <c r="CF21" s="227"/>
      <c r="CG21" s="227"/>
      <c r="CH21" s="227"/>
      <c r="CI21" s="227"/>
      <c r="CJ21" s="227"/>
      <c r="CK21" s="227"/>
      <c r="CL21" s="227"/>
      <c r="CM21" s="227"/>
      <c r="CN21" s="227"/>
      <c r="CO21" s="227"/>
      <c r="CP21" s="227"/>
      <c r="CQ21" s="227"/>
      <c r="CR21" s="227"/>
      <c r="CS21" s="227"/>
      <c r="CT21" s="227"/>
      <c r="CU21" s="227"/>
      <c r="CV21" s="227"/>
      <c r="CW21" s="227"/>
      <c r="CX21" s="227"/>
      <c r="CY21" s="227"/>
      <c r="CZ21" s="227"/>
      <c r="DA21" s="227"/>
      <c r="DB21" s="227"/>
      <c r="DC21" s="227"/>
      <c r="DD21" s="227"/>
      <c r="DE21" s="227"/>
      <c r="DF21" s="227"/>
      <c r="DG21" s="227"/>
      <c r="DH21" s="227"/>
      <c r="DI21" s="227"/>
      <c r="DJ21" s="227"/>
      <c r="DK21" s="227"/>
      <c r="DL21" s="227"/>
      <c r="DM21" s="227"/>
      <c r="DN21" s="227"/>
      <c r="DO21" s="227"/>
      <c r="DP21" s="227"/>
      <c r="DQ21" s="227"/>
      <c r="DR21" s="227"/>
      <c r="DS21" s="227"/>
      <c r="DT21" s="227"/>
      <c r="DU21" s="227"/>
      <c r="DV21" s="227"/>
      <c r="DW21" s="227"/>
      <c r="DX21" s="227"/>
      <c r="DY21" s="227"/>
      <c r="DZ21" s="227"/>
      <c r="EA21" s="227"/>
      <c r="EB21" s="227"/>
      <c r="EC21" s="227"/>
      <c r="ED21" s="227"/>
      <c r="EE21" s="227"/>
      <c r="EF21" s="227"/>
      <c r="EG21" s="227"/>
      <c r="EH21" s="227"/>
      <c r="EI21" s="227"/>
      <c r="EJ21" s="227"/>
      <c r="EK21" s="227"/>
      <c r="EL21" s="227"/>
      <c r="EM21" s="227"/>
      <c r="EN21" s="227"/>
      <c r="EO21" s="227"/>
      <c r="EP21" s="227"/>
      <c r="EQ21" s="227"/>
      <c r="ER21" s="227"/>
      <c r="ES21" s="227"/>
      <c r="ET21" s="227"/>
      <c r="EU21" s="227"/>
      <c r="EV21" s="227"/>
      <c r="EW21" s="227"/>
      <c r="EX21" s="227"/>
      <c r="EY21" s="227"/>
      <c r="EZ21" s="227"/>
      <c r="FA21" s="227"/>
      <c r="FB21" s="227"/>
      <c r="FC21" s="227"/>
      <c r="FD21" s="227"/>
      <c r="FE21" s="227"/>
      <c r="FF21" s="227"/>
      <c r="FG21" s="227"/>
      <c r="FH21" s="227"/>
      <c r="FI21" s="227"/>
      <c r="FJ21" s="227"/>
      <c r="FK21" s="227"/>
      <c r="FL21" s="227"/>
      <c r="FM21" s="227"/>
      <c r="FN21" s="227"/>
      <c r="FO21" s="227"/>
      <c r="FP21" s="227"/>
      <c r="FQ21" s="227"/>
      <c r="FR21" s="227"/>
      <c r="FS21" s="227"/>
      <c r="FT21" s="227"/>
      <c r="FU21" s="227"/>
      <c r="FV21" s="227"/>
      <c r="FW21" s="227"/>
      <c r="FX21" s="227"/>
      <c r="FY21" s="227"/>
      <c r="FZ21" s="227"/>
      <c r="GA21" s="227"/>
      <c r="GB21" s="227"/>
      <c r="GC21" s="227"/>
      <c r="GD21" s="227"/>
      <c r="GE21" s="227"/>
      <c r="GF21" s="227"/>
      <c r="GG21" s="227"/>
      <c r="GH21" s="227"/>
      <c r="GI21" s="227"/>
      <c r="GJ21" s="227"/>
      <c r="GK21" s="227"/>
      <c r="GL21" s="227"/>
      <c r="GM21" s="227"/>
      <c r="GN21" s="227"/>
      <c r="GO21" s="227"/>
      <c r="GP21" s="227"/>
      <c r="GQ21" s="227"/>
      <c r="GR21" s="227"/>
      <c r="GS21" s="227"/>
      <c r="GT21" s="227"/>
      <c r="GU21" s="227"/>
      <c r="GV21" s="227"/>
      <c r="GW21" s="227"/>
      <c r="GX21" s="227"/>
      <c r="GY21" s="227"/>
      <c r="GZ21" s="227"/>
      <c r="HA21" s="227"/>
      <c r="HB21" s="227"/>
      <c r="HC21" s="227"/>
      <c r="HD21" s="227"/>
      <c r="HE21" s="227"/>
      <c r="HF21" s="227"/>
      <c r="HG21" s="227"/>
      <c r="HH21" s="227"/>
      <c r="HI21" s="227"/>
      <c r="HJ21" s="227"/>
    </row>
    <row r="22" spans="1:218" s="222" customFormat="1" ht="31.5">
      <c r="A22" s="48" t="s">
        <v>101</v>
      </c>
      <c r="B22" s="49" t="s">
        <v>584</v>
      </c>
      <c r="C22" s="167">
        <f>C24+C25+C26+C27</f>
        <v>0</v>
      </c>
      <c r="D22" s="167">
        <f>D24+D25+D26+D27</f>
        <v>0</v>
      </c>
      <c r="E22" s="429" t="e">
        <f>D22/C22</f>
        <v>#DIV/0!</v>
      </c>
      <c r="F22" s="429"/>
      <c r="G22" s="430"/>
      <c r="I22" s="232">
        <f>D22*0.1</f>
        <v>0</v>
      </c>
      <c r="J22" s="232">
        <f>I22+21092</f>
        <v>21092</v>
      </c>
    </row>
    <row r="23" spans="1:218" s="426" customFormat="1" ht="21" customHeight="1">
      <c r="A23" s="431" t="s">
        <v>966</v>
      </c>
      <c r="B23" s="432" t="s">
        <v>585</v>
      </c>
      <c r="C23" s="433"/>
      <c r="D23" s="433"/>
      <c r="E23" s="434"/>
      <c r="F23" s="434"/>
      <c r="G23" s="435"/>
      <c r="I23" s="427"/>
    </row>
    <row r="24" spans="1:218" s="227" customFormat="1" ht="15.75">
      <c r="A24" s="73" t="s">
        <v>22</v>
      </c>
      <c r="B24" s="74" t="s">
        <v>23</v>
      </c>
      <c r="C24" s="239"/>
      <c r="D24" s="239"/>
      <c r="E24" s="315" t="e">
        <f>D24/C24</f>
        <v>#DIV/0!</v>
      </c>
      <c r="F24" s="630"/>
      <c r="G24" s="319"/>
      <c r="H24" s="239">
        <v>14499330</v>
      </c>
      <c r="I24" s="228" t="e">
        <f>D24*I30</f>
        <v>#DIV/0!</v>
      </c>
      <c r="J24" s="228" t="e">
        <f>D24-I24</f>
        <v>#DIV/0!</v>
      </c>
    </row>
    <row r="25" spans="1:218" s="227" customFormat="1" ht="21.75" customHeight="1">
      <c r="A25" s="73" t="s">
        <v>66</v>
      </c>
      <c r="B25" s="74" t="s">
        <v>142</v>
      </c>
      <c r="C25" s="239"/>
      <c r="D25" s="239"/>
      <c r="E25" s="315" t="e">
        <f>D25/C25</f>
        <v>#DIV/0!</v>
      </c>
      <c r="F25" s="631"/>
      <c r="G25" s="319"/>
      <c r="H25" s="228">
        <f>D25+D27+D26</f>
        <v>0</v>
      </c>
      <c r="I25" s="424" t="e">
        <f>H25/C22</f>
        <v>#DIV/0!</v>
      </c>
    </row>
    <row r="26" spans="1:218" s="227" customFormat="1" ht="15.75">
      <c r="A26" s="73" t="s">
        <v>77</v>
      </c>
      <c r="B26" s="74" t="s">
        <v>143</v>
      </c>
      <c r="C26" s="239"/>
      <c r="D26" s="239"/>
      <c r="E26" s="315" t="e">
        <f>D26/C26</f>
        <v>#DIV/0!</v>
      </c>
      <c r="F26" s="630"/>
      <c r="G26" s="319"/>
      <c r="I26" s="228"/>
    </row>
    <row r="27" spans="1:218" s="227" customFormat="1" ht="35.25" customHeight="1">
      <c r="A27" s="73" t="s">
        <v>83</v>
      </c>
      <c r="B27" s="74" t="s">
        <v>78</v>
      </c>
      <c r="C27" s="239"/>
      <c r="D27" s="239"/>
      <c r="E27" s="315" t="e">
        <f>D27/C27</f>
        <v>#DIV/0!</v>
      </c>
      <c r="F27" s="315"/>
      <c r="G27" s="319"/>
      <c r="H27" s="620" t="e">
        <v>#REF!</v>
      </c>
      <c r="I27" s="228">
        <v>1251714.55</v>
      </c>
    </row>
    <row r="28" spans="1:218" s="222" customFormat="1" ht="31.5" hidden="1" customHeight="1">
      <c r="A28" s="73" t="s">
        <v>99</v>
      </c>
      <c r="B28" s="74" t="s">
        <v>144</v>
      </c>
      <c r="C28" s="74"/>
      <c r="D28" s="239"/>
      <c r="E28" s="315"/>
      <c r="F28" s="315"/>
      <c r="G28" s="231"/>
      <c r="I28" s="232"/>
    </row>
    <row r="29" spans="1:218" s="426" customFormat="1" ht="21" customHeight="1">
      <c r="A29" s="431" t="s">
        <v>967</v>
      </c>
      <c r="B29" s="432" t="s">
        <v>583</v>
      </c>
      <c r="C29" s="436"/>
      <c r="D29" s="437"/>
      <c r="E29" s="438"/>
      <c r="F29" s="438"/>
      <c r="G29" s="435"/>
      <c r="I29" s="427">
        <v>1234291</v>
      </c>
    </row>
    <row r="30" spans="1:218" s="227" customFormat="1" ht="15.75">
      <c r="A30" s="73" t="s">
        <v>24</v>
      </c>
      <c r="B30" s="74" t="s">
        <v>202</v>
      </c>
      <c r="C30" s="239"/>
      <c r="D30" s="239"/>
      <c r="E30" s="315"/>
      <c r="F30" s="630"/>
      <c r="G30" s="319"/>
      <c r="H30" s="228" t="e">
        <f>D30+H27</f>
        <v>#REF!</v>
      </c>
      <c r="I30" s="621" t="e">
        <f>D30/D22</f>
        <v>#DIV/0!</v>
      </c>
      <c r="L30" s="228">
        <v>25034290</v>
      </c>
    </row>
    <row r="31" spans="1:218" s="227" customFormat="1" ht="20.25" customHeight="1">
      <c r="A31" s="73" t="s">
        <v>27</v>
      </c>
      <c r="B31" s="74" t="s">
        <v>290</v>
      </c>
      <c r="C31" s="239">
        <f>C22-C30</f>
        <v>0</v>
      </c>
      <c r="D31" s="239">
        <f>D22-D30</f>
        <v>0</v>
      </c>
      <c r="E31" s="315" t="e">
        <f t="shared" ref="E31:E39" si="1">D31/C31</f>
        <v>#DIV/0!</v>
      </c>
      <c r="F31" s="315"/>
      <c r="G31" s="319"/>
      <c r="I31" s="228">
        <v>14495000</v>
      </c>
      <c r="L31" s="228">
        <f>D22-L30</f>
        <v>-25034290</v>
      </c>
      <c r="M31" s="228">
        <f>D30+L31</f>
        <v>-25034290</v>
      </c>
    </row>
    <row r="32" spans="1:218" s="222" customFormat="1" ht="15.75">
      <c r="A32" s="103">
        <v>1</v>
      </c>
      <c r="B32" s="104" t="s">
        <v>590</v>
      </c>
      <c r="C32" s="175"/>
      <c r="D32" s="175"/>
      <c r="E32" s="316" t="e">
        <f t="shared" si="1"/>
        <v>#DIV/0!</v>
      </c>
      <c r="F32" s="316"/>
      <c r="G32" s="231"/>
      <c r="I32" s="232">
        <f>I31*0.2</f>
        <v>2899000</v>
      </c>
    </row>
    <row r="33" spans="1:13" s="222" customFormat="1" ht="31.5">
      <c r="A33" s="103">
        <v>2</v>
      </c>
      <c r="B33" s="104" t="s">
        <v>591</v>
      </c>
      <c r="C33" s="175"/>
      <c r="D33" s="175"/>
      <c r="E33" s="316" t="e">
        <f t="shared" si="1"/>
        <v>#DIV/0!</v>
      </c>
      <c r="F33" s="630"/>
      <c r="G33" s="231"/>
      <c r="I33" s="232">
        <f>D26-D33</f>
        <v>0</v>
      </c>
    </row>
    <row r="34" spans="1:13" s="222" customFormat="1" ht="15.75">
      <c r="A34" s="103">
        <v>3</v>
      </c>
      <c r="B34" s="104" t="s">
        <v>581</v>
      </c>
      <c r="C34" s="175"/>
      <c r="D34" s="175"/>
      <c r="E34" s="316" t="e">
        <f t="shared" si="1"/>
        <v>#DIV/0!</v>
      </c>
      <c r="F34" s="630"/>
      <c r="G34" s="231"/>
      <c r="I34" s="232"/>
    </row>
    <row r="35" spans="1:13" s="222" customFormat="1" ht="18.600000000000001" customHeight="1">
      <c r="A35" s="103">
        <v>4</v>
      </c>
      <c r="B35" s="104" t="s">
        <v>575</v>
      </c>
      <c r="C35" s="175"/>
      <c r="D35" s="175"/>
      <c r="E35" s="316" t="e">
        <f t="shared" si="1"/>
        <v>#DIV/0!</v>
      </c>
      <c r="F35" s="316"/>
      <c r="G35" s="231"/>
      <c r="I35" s="232"/>
    </row>
    <row r="36" spans="1:13" s="222" customFormat="1" ht="31.5">
      <c r="A36" s="103">
        <v>5</v>
      </c>
      <c r="B36" s="104" t="s">
        <v>291</v>
      </c>
      <c r="C36" s="175"/>
      <c r="D36" s="175"/>
      <c r="E36" s="316" t="e">
        <f t="shared" si="1"/>
        <v>#DIV/0!</v>
      </c>
      <c r="F36" s="316"/>
      <c r="G36" s="231"/>
      <c r="H36" s="222">
        <v>192000</v>
      </c>
      <c r="I36" s="232"/>
    </row>
    <row r="37" spans="1:13" s="237" customFormat="1" ht="52.5" customHeight="1">
      <c r="A37" s="112" t="s">
        <v>53</v>
      </c>
      <c r="B37" s="113" t="s">
        <v>857</v>
      </c>
      <c r="C37" s="179"/>
      <c r="D37" s="179"/>
      <c r="E37" s="316" t="e">
        <f t="shared" si="1"/>
        <v>#DIV/0!</v>
      </c>
      <c r="F37" s="317"/>
      <c r="G37" s="235"/>
      <c r="H37" s="222">
        <v>192000</v>
      </c>
      <c r="I37" s="236"/>
    </row>
    <row r="38" spans="1:13" s="237" customFormat="1" ht="18.600000000000001" customHeight="1">
      <c r="A38" s="112" t="s">
        <v>53</v>
      </c>
      <c r="B38" s="113" t="s">
        <v>107</v>
      </c>
      <c r="C38" s="179"/>
      <c r="D38" s="179"/>
      <c r="E38" s="316" t="e">
        <f t="shared" si="1"/>
        <v>#DIV/0!</v>
      </c>
      <c r="F38" s="317"/>
      <c r="G38" s="235"/>
      <c r="H38" s="237" t="e">
        <f>D38/D17</f>
        <v>#DIV/0!</v>
      </c>
      <c r="I38" s="236"/>
      <c r="L38" s="236" t="e">
        <f>C38*E17</f>
        <v>#DIV/0!</v>
      </c>
      <c r="M38" s="236" t="e">
        <f>D38-L38</f>
        <v>#DIV/0!</v>
      </c>
    </row>
    <row r="39" spans="1:13" s="237" customFormat="1" ht="18.600000000000001" customHeight="1">
      <c r="A39" s="112" t="s">
        <v>53</v>
      </c>
      <c r="B39" s="113" t="s">
        <v>108</v>
      </c>
      <c r="C39" s="179"/>
      <c r="D39" s="179"/>
      <c r="E39" s="316" t="e">
        <f t="shared" si="1"/>
        <v>#DIV/0!</v>
      </c>
      <c r="F39" s="317"/>
      <c r="G39" s="235"/>
      <c r="I39" s="236"/>
      <c r="L39" s="236" t="e">
        <f>C39*E18</f>
        <v>#DIV/0!</v>
      </c>
      <c r="M39" s="236" t="e">
        <f>D39-L39</f>
        <v>#DIV/0!</v>
      </c>
    </row>
    <row r="40" spans="1:13" s="222" customFormat="1" ht="31.5">
      <c r="A40" s="103">
        <v>6</v>
      </c>
      <c r="B40" s="104" t="s">
        <v>582</v>
      </c>
      <c r="C40" s="175"/>
      <c r="D40" s="175"/>
      <c r="E40" s="316"/>
      <c r="F40" s="316"/>
      <c r="G40" s="231"/>
      <c r="H40" s="232">
        <f>D43+D41+D20+D14+D13+D35</f>
        <v>0</v>
      </c>
      <c r="I40" s="232">
        <f>D10-H40</f>
        <v>0</v>
      </c>
      <c r="M40" s="760">
        <f>M41+M43</f>
        <v>16692959.346373621</v>
      </c>
    </row>
    <row r="41" spans="1:13" s="222" customFormat="1" ht="31.5">
      <c r="A41" s="103">
        <v>7</v>
      </c>
      <c r="B41" s="104" t="s">
        <v>577</v>
      </c>
      <c r="C41" s="175"/>
      <c r="D41" s="175"/>
      <c r="E41" s="316"/>
      <c r="F41" s="316"/>
      <c r="G41" s="231"/>
      <c r="H41" s="232">
        <v>23710419.5</v>
      </c>
      <c r="I41" s="232"/>
      <c r="M41" s="760">
        <v>3896739.84637362</v>
      </c>
    </row>
    <row r="42" spans="1:13" s="222" customFormat="1" ht="18.600000000000001" customHeight="1">
      <c r="A42" s="103">
        <v>8</v>
      </c>
      <c r="B42" s="104" t="s">
        <v>44</v>
      </c>
      <c r="C42" s="175"/>
      <c r="D42" s="175"/>
      <c r="E42" s="316" t="e">
        <f>D42/C42</f>
        <v>#DIV/0!</v>
      </c>
      <c r="F42" s="316"/>
      <c r="G42" s="231"/>
      <c r="I42" s="232"/>
      <c r="M42" s="222">
        <v>-25000</v>
      </c>
    </row>
    <row r="43" spans="1:13" s="222" customFormat="1" ht="18.600000000000001" customHeight="1">
      <c r="A43" s="103">
        <v>9</v>
      </c>
      <c r="B43" s="104" t="s">
        <v>576</v>
      </c>
      <c r="C43" s="175"/>
      <c r="D43" s="425"/>
      <c r="E43" s="316"/>
      <c r="F43" s="316"/>
      <c r="G43" s="231"/>
      <c r="I43" s="232"/>
      <c r="M43" s="760">
        <v>12796219.500000002</v>
      </c>
    </row>
    <row r="44" spans="1:13" s="222" customFormat="1" ht="9.75" customHeight="1">
      <c r="A44" s="240"/>
      <c r="B44" s="241"/>
      <c r="C44" s="241"/>
      <c r="D44" s="242"/>
      <c r="E44" s="318"/>
      <c r="F44" s="318"/>
      <c r="G44" s="241"/>
    </row>
    <row r="45" spans="1:13" ht="16.5">
      <c r="A45" s="243"/>
      <c r="B45" s="244"/>
      <c r="C45" s="244"/>
      <c r="D45" s="244"/>
      <c r="E45" s="244"/>
      <c r="F45" s="244"/>
      <c r="G45" s="244"/>
    </row>
    <row r="46" spans="1:13" ht="66" customHeight="1">
      <c r="A46" s="888"/>
      <c r="B46" s="888"/>
      <c r="C46" s="888"/>
      <c r="D46" s="888"/>
      <c r="E46" s="888"/>
      <c r="F46" s="888"/>
      <c r="G46" s="888"/>
    </row>
    <row r="47" spans="1:13" ht="16.5">
      <c r="A47" s="243"/>
      <c r="B47" s="244"/>
      <c r="C47" s="244"/>
      <c r="D47" s="245"/>
      <c r="E47" s="245"/>
      <c r="F47" s="245"/>
      <c r="G47" s="244"/>
    </row>
    <row r="48" spans="1:13" ht="18.75" hidden="1">
      <c r="A48" s="243"/>
      <c r="B48" s="244"/>
      <c r="C48" s="244"/>
      <c r="D48" s="722" t="e">
        <v>#REF!</v>
      </c>
      <c r="E48" s="244"/>
      <c r="F48" s="244"/>
      <c r="G48" s="244"/>
    </row>
    <row r="49" spans="1:7" ht="16.5" hidden="1">
      <c r="A49" s="243"/>
      <c r="B49" s="244"/>
      <c r="C49" s="244"/>
      <c r="D49" s="723" t="e">
        <f>D48/D22</f>
        <v>#REF!</v>
      </c>
      <c r="E49" s="244"/>
      <c r="F49" s="244"/>
      <c r="G49" s="244"/>
    </row>
    <row r="50" spans="1:7" ht="16.5" hidden="1">
      <c r="A50" s="243"/>
      <c r="B50" s="244"/>
      <c r="C50" s="244"/>
      <c r="D50" s="244"/>
      <c r="E50" s="244"/>
      <c r="F50" s="244"/>
      <c r="G50" s="244"/>
    </row>
    <row r="51" spans="1:7" ht="16.5" hidden="1">
      <c r="A51" s="243"/>
      <c r="B51" s="244"/>
      <c r="C51" s="244"/>
      <c r="D51" s="244"/>
      <c r="E51" s="244"/>
      <c r="F51" s="244"/>
      <c r="G51" s="244"/>
    </row>
    <row r="52" spans="1:7" ht="16.5" hidden="1">
      <c r="A52" s="243"/>
      <c r="B52" s="244"/>
      <c r="C52" s="244"/>
      <c r="D52" s="244"/>
      <c r="E52" s="244"/>
      <c r="F52" s="244"/>
      <c r="G52" s="244"/>
    </row>
    <row r="53" spans="1:7" ht="16.5" hidden="1">
      <c r="A53" s="243"/>
      <c r="B53" s="244"/>
      <c r="C53" s="244"/>
      <c r="D53" s="244"/>
      <c r="E53" s="244"/>
      <c r="F53" s="244"/>
      <c r="G53" s="244"/>
    </row>
    <row r="54" spans="1:7" ht="16.5" hidden="1">
      <c r="A54" s="243"/>
      <c r="B54" s="244"/>
      <c r="C54" s="244"/>
      <c r="D54" s="244"/>
      <c r="E54" s="244"/>
      <c r="F54" s="244"/>
      <c r="G54" s="244"/>
    </row>
    <row r="55" spans="1:7" ht="16.5" hidden="1">
      <c r="A55" s="243"/>
      <c r="B55" s="244"/>
      <c r="C55" s="244"/>
      <c r="D55" s="244"/>
      <c r="E55" s="244"/>
      <c r="F55" s="244"/>
      <c r="G55" s="244"/>
    </row>
    <row r="56" spans="1:7" ht="16.5" hidden="1">
      <c r="A56" s="243"/>
      <c r="B56" s="244"/>
      <c r="C56" s="244"/>
      <c r="D56" s="244"/>
      <c r="E56" s="244"/>
      <c r="F56" s="244"/>
      <c r="G56" s="244"/>
    </row>
    <row r="57" spans="1:7" ht="16.5">
      <c r="A57" s="243"/>
      <c r="B57" s="244"/>
      <c r="C57" s="244"/>
      <c r="D57" s="244"/>
      <c r="E57" s="244"/>
      <c r="F57" s="244"/>
      <c r="G57" s="244"/>
    </row>
    <row r="58" spans="1:7" ht="16.5">
      <c r="A58" s="243"/>
      <c r="B58" s="244"/>
      <c r="C58" s="244"/>
      <c r="D58" s="244"/>
      <c r="E58" s="244"/>
      <c r="F58" s="244"/>
      <c r="G58" s="244"/>
    </row>
    <row r="59" spans="1:7" ht="16.5">
      <c r="A59" s="243"/>
      <c r="B59" s="244"/>
      <c r="C59" s="244"/>
      <c r="D59" s="244"/>
      <c r="E59" s="244"/>
      <c r="F59" s="244"/>
      <c r="G59" s="244"/>
    </row>
    <row r="60" spans="1:7" ht="16.5">
      <c r="A60" s="243"/>
      <c r="B60" s="244"/>
      <c r="C60" s="244"/>
      <c r="D60" s="244"/>
      <c r="E60" s="244"/>
      <c r="F60" s="244"/>
      <c r="G60" s="244"/>
    </row>
    <row r="61" spans="1:7" ht="16.5">
      <c r="A61" s="243"/>
      <c r="B61" s="244"/>
      <c r="C61" s="244"/>
      <c r="D61" s="244"/>
      <c r="E61" s="244"/>
      <c r="F61" s="244"/>
      <c r="G61" s="244"/>
    </row>
    <row r="62" spans="1:7" ht="16.5">
      <c r="A62" s="243"/>
      <c r="B62" s="244"/>
      <c r="C62" s="244"/>
      <c r="D62" s="244"/>
      <c r="E62" s="244"/>
      <c r="F62" s="244"/>
      <c r="G62" s="244"/>
    </row>
    <row r="63" spans="1:7" ht="16.5">
      <c r="A63" s="243"/>
      <c r="B63" s="244"/>
      <c r="C63" s="244"/>
      <c r="D63" s="244"/>
      <c r="E63" s="244"/>
      <c r="F63" s="244"/>
      <c r="G63" s="244"/>
    </row>
    <row r="64" spans="1:7" ht="16.5">
      <c r="A64" s="243"/>
      <c r="B64" s="244"/>
      <c r="C64" s="244"/>
      <c r="D64" s="244"/>
      <c r="E64" s="244"/>
      <c r="F64" s="244"/>
      <c r="G64" s="244"/>
    </row>
    <row r="65" spans="1:7" ht="16.5">
      <c r="A65" s="243"/>
      <c r="B65" s="244"/>
      <c r="C65" s="244"/>
      <c r="D65" s="244"/>
      <c r="E65" s="244"/>
      <c r="F65" s="244"/>
      <c r="G65" s="244"/>
    </row>
    <row r="66" spans="1:7" ht="16.5">
      <c r="A66" s="243"/>
      <c r="B66" s="244"/>
      <c r="C66" s="244"/>
      <c r="D66" s="244"/>
      <c r="E66" s="244"/>
      <c r="F66" s="244"/>
      <c r="G66" s="244"/>
    </row>
  </sheetData>
  <mergeCells count="13">
    <mergeCell ref="D1:G1"/>
    <mergeCell ref="A2:G2"/>
    <mergeCell ref="A3:G3"/>
    <mergeCell ref="A4:G4"/>
    <mergeCell ref="D6:G6"/>
    <mergeCell ref="D7:D9"/>
    <mergeCell ref="G7:G9"/>
    <mergeCell ref="F7:F9"/>
    <mergeCell ref="A46:G46"/>
    <mergeCell ref="C7:C9"/>
    <mergeCell ref="A7:A9"/>
    <mergeCell ref="B7:B9"/>
    <mergeCell ref="E7:E9"/>
  </mergeCells>
  <printOptions horizontalCentered="1"/>
  <pageMargins left="0.5" right="0.25" top="0.75" bottom="0.25" header="0" footer="0"/>
  <pageSetup paperSize="9" scale="75"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1:AG51"/>
  <sheetViews>
    <sheetView topLeftCell="A7" zoomScaleNormal="100" workbookViewId="0">
      <selection activeCell="A2" sqref="A2:Z2"/>
    </sheetView>
  </sheetViews>
  <sheetFormatPr defaultColWidth="10" defaultRowHeight="18.75"/>
  <cols>
    <col min="1" max="1" width="4.85546875" style="744" customWidth="1"/>
    <col min="2" max="2" width="26.42578125" style="744" customWidth="1"/>
    <col min="3" max="3" width="12.28515625" style="744" customWidth="1"/>
    <col min="4" max="5" width="6.28515625" style="744" customWidth="1"/>
    <col min="6" max="6" width="10.42578125" style="744" bestFit="1" customWidth="1"/>
    <col min="7" max="7" width="9.42578125" style="744" bestFit="1" customWidth="1"/>
    <col min="8" max="8" width="7.140625" style="744" customWidth="1"/>
    <col min="9" max="9" width="6.42578125" style="744" customWidth="1"/>
    <col min="10" max="10" width="7.28515625" style="744" bestFit="1" customWidth="1"/>
    <col min="11" max="11" width="7.7109375" style="744" customWidth="1"/>
    <col min="12" max="12" width="8.42578125" style="744" bestFit="1" customWidth="1"/>
    <col min="13" max="13" width="8" style="744" customWidth="1"/>
    <col min="14" max="14" width="8.42578125" style="744" customWidth="1"/>
    <col min="15" max="15" width="5.7109375" style="744" customWidth="1"/>
    <col min="16" max="18" width="8.28515625" style="744" customWidth="1"/>
    <col min="19" max="19" width="7.85546875" style="744" customWidth="1"/>
    <col min="20" max="20" width="7.28515625" style="744" customWidth="1"/>
    <col min="21" max="21" width="7.42578125" style="744" bestFit="1" customWidth="1"/>
    <col min="22" max="22" width="11.28515625" style="744" customWidth="1"/>
    <col min="23" max="23" width="8.85546875" style="744" customWidth="1"/>
    <col min="24" max="24" width="7.7109375" style="744" customWidth="1"/>
    <col min="25" max="25" width="8.140625" style="744" customWidth="1"/>
    <col min="26" max="26" width="7.140625" style="744" bestFit="1" customWidth="1"/>
    <col min="27" max="27" width="24.28515625" style="744" customWidth="1"/>
    <col min="28" max="28" width="10" style="744"/>
    <col min="29" max="29" width="14.28515625" style="744" customWidth="1"/>
    <col min="30" max="30" width="12.28515625" style="744" customWidth="1"/>
    <col min="31" max="16384" width="10" style="744"/>
  </cols>
  <sheetData>
    <row r="1" spans="1:33" s="739" customFormat="1" ht="19.149999999999999" customHeight="1">
      <c r="A1" s="908" t="s">
        <v>141</v>
      </c>
      <c r="B1" s="908"/>
      <c r="C1" s="908"/>
      <c r="D1" s="908"/>
      <c r="E1" s="908"/>
      <c r="F1" s="908"/>
      <c r="G1" s="908"/>
      <c r="H1" s="908"/>
      <c r="I1" s="908"/>
      <c r="J1" s="908"/>
      <c r="K1" s="908"/>
      <c r="L1" s="908"/>
      <c r="M1" s="908"/>
      <c r="N1" s="908"/>
      <c r="O1" s="908"/>
      <c r="P1" s="908"/>
      <c r="Q1" s="908"/>
      <c r="R1" s="908"/>
      <c r="S1" s="908"/>
      <c r="T1" s="908"/>
      <c r="U1" s="908"/>
      <c r="V1" s="908"/>
      <c r="W1" s="908"/>
      <c r="X1" s="908"/>
      <c r="Y1" s="908"/>
      <c r="Z1" s="908"/>
    </row>
    <row r="2" spans="1:33" s="740" customFormat="1" ht="19.899999999999999" customHeight="1">
      <c r="A2" s="909" t="s">
        <v>1001</v>
      </c>
      <c r="B2" s="908"/>
      <c r="C2" s="908"/>
      <c r="D2" s="908"/>
      <c r="E2" s="908"/>
      <c r="F2" s="908"/>
      <c r="G2" s="908"/>
      <c r="H2" s="908"/>
      <c r="I2" s="908"/>
      <c r="J2" s="908"/>
      <c r="K2" s="908"/>
      <c r="L2" s="908"/>
      <c r="M2" s="908"/>
      <c r="N2" s="908"/>
      <c r="O2" s="908"/>
      <c r="P2" s="908"/>
      <c r="Q2" s="908"/>
      <c r="R2" s="908"/>
      <c r="S2" s="908"/>
      <c r="T2" s="908"/>
      <c r="U2" s="908"/>
      <c r="V2" s="908"/>
      <c r="W2" s="908"/>
      <c r="X2" s="908"/>
      <c r="Y2" s="908"/>
      <c r="Z2" s="908"/>
    </row>
    <row r="3" spans="1:33" s="740" customFormat="1" ht="19.899999999999999" hidden="1" customHeight="1">
      <c r="A3" s="908" t="s">
        <v>999</v>
      </c>
      <c r="B3" s="908"/>
      <c r="C3" s="908"/>
      <c r="D3" s="908"/>
      <c r="E3" s="908"/>
      <c r="F3" s="908"/>
      <c r="G3" s="908"/>
      <c r="H3" s="908"/>
      <c r="I3" s="908"/>
      <c r="J3" s="908"/>
      <c r="K3" s="908"/>
      <c r="L3" s="908"/>
      <c r="M3" s="908"/>
      <c r="N3" s="908"/>
      <c r="O3" s="908"/>
      <c r="P3" s="908"/>
      <c r="Q3" s="908"/>
      <c r="R3" s="908"/>
      <c r="S3" s="908"/>
      <c r="T3" s="908"/>
      <c r="U3" s="908"/>
      <c r="V3" s="908"/>
      <c r="W3" s="908"/>
      <c r="X3" s="908"/>
      <c r="Y3" s="908"/>
      <c r="Z3" s="908"/>
    </row>
    <row r="4" spans="1:33" s="725" customFormat="1" ht="19.149999999999999" customHeight="1">
      <c r="A4" s="910" t="s">
        <v>1020</v>
      </c>
      <c r="B4" s="911"/>
      <c r="C4" s="911"/>
      <c r="D4" s="911"/>
      <c r="E4" s="911"/>
      <c r="F4" s="911"/>
      <c r="G4" s="911"/>
      <c r="H4" s="911"/>
      <c r="I4" s="911"/>
      <c r="J4" s="911"/>
      <c r="K4" s="911"/>
      <c r="L4" s="911"/>
      <c r="M4" s="911"/>
      <c r="N4" s="911"/>
      <c r="O4" s="911"/>
      <c r="P4" s="911"/>
      <c r="Q4" s="911"/>
      <c r="R4" s="911"/>
      <c r="S4" s="911"/>
      <c r="T4" s="911"/>
      <c r="U4" s="911"/>
      <c r="V4" s="911"/>
      <c r="W4" s="911"/>
      <c r="X4" s="911"/>
      <c r="Y4" s="911"/>
      <c r="Z4" s="911"/>
    </row>
    <row r="5" spans="1:33" s="725" customFormat="1" ht="18" customHeight="1">
      <c r="A5" s="912" t="s">
        <v>951</v>
      </c>
      <c r="B5" s="912"/>
      <c r="C5" s="912"/>
      <c r="D5" s="912"/>
      <c r="E5" s="912"/>
      <c r="F5" s="912"/>
      <c r="G5" s="912"/>
      <c r="H5" s="912"/>
      <c r="I5" s="912"/>
      <c r="J5" s="912"/>
      <c r="K5" s="912"/>
      <c r="L5" s="912"/>
      <c r="M5" s="912"/>
      <c r="N5" s="912"/>
      <c r="O5" s="912"/>
      <c r="P5" s="912"/>
      <c r="Q5" s="912"/>
      <c r="R5" s="912"/>
      <c r="S5" s="912"/>
      <c r="T5" s="912"/>
      <c r="U5" s="912"/>
      <c r="V5" s="912"/>
      <c r="W5" s="912"/>
      <c r="X5" s="912"/>
      <c r="Y5" s="912"/>
      <c r="Z5" s="912"/>
    </row>
    <row r="6" spans="1:33" s="726" customFormat="1" ht="24.75" customHeight="1">
      <c r="A6" s="913" t="s">
        <v>663</v>
      </c>
      <c r="B6" s="897" t="s">
        <v>974</v>
      </c>
      <c r="C6" s="897" t="s">
        <v>152</v>
      </c>
      <c r="D6" s="916" t="s">
        <v>975</v>
      </c>
      <c r="E6" s="916" t="s">
        <v>976</v>
      </c>
      <c r="F6" s="897" t="s">
        <v>977</v>
      </c>
      <c r="G6" s="897"/>
      <c r="H6" s="897"/>
      <c r="I6" s="897"/>
      <c r="J6" s="897"/>
      <c r="K6" s="897"/>
      <c r="L6" s="897"/>
      <c r="M6" s="897"/>
      <c r="N6" s="897"/>
      <c r="O6" s="897"/>
      <c r="P6" s="898" t="s">
        <v>1016</v>
      </c>
      <c r="Q6" s="899"/>
      <c r="R6" s="899"/>
      <c r="S6" s="899"/>
      <c r="T6" s="900"/>
      <c r="U6" s="898" t="s">
        <v>978</v>
      </c>
      <c r="V6" s="899"/>
      <c r="W6" s="899"/>
      <c r="X6" s="899"/>
      <c r="Y6" s="900"/>
      <c r="Z6" s="896" t="s">
        <v>9</v>
      </c>
      <c r="AA6" s="895"/>
    </row>
    <row r="7" spans="1:33" s="726" customFormat="1" ht="13.5" customHeight="1">
      <c r="A7" s="914"/>
      <c r="B7" s="915"/>
      <c r="C7" s="915"/>
      <c r="D7" s="917"/>
      <c r="E7" s="917"/>
      <c r="F7" s="907" t="s">
        <v>979</v>
      </c>
      <c r="G7" s="893" t="s">
        <v>980</v>
      </c>
      <c r="H7" s="893"/>
      <c r="I7" s="893"/>
      <c r="J7" s="893"/>
      <c r="K7" s="893"/>
      <c r="L7" s="893"/>
      <c r="M7" s="893"/>
      <c r="N7" s="893"/>
      <c r="O7" s="893"/>
      <c r="P7" s="901"/>
      <c r="Q7" s="902"/>
      <c r="R7" s="902"/>
      <c r="S7" s="902"/>
      <c r="T7" s="903"/>
      <c r="U7" s="901"/>
      <c r="V7" s="902"/>
      <c r="W7" s="902"/>
      <c r="X7" s="902"/>
      <c r="Y7" s="903"/>
      <c r="Z7" s="893"/>
      <c r="AA7" s="895"/>
    </row>
    <row r="8" spans="1:33" s="726" customFormat="1" ht="12" customHeight="1">
      <c r="A8" s="914"/>
      <c r="B8" s="915"/>
      <c r="C8" s="915"/>
      <c r="D8" s="917"/>
      <c r="E8" s="917"/>
      <c r="F8" s="907"/>
      <c r="G8" s="893" t="s">
        <v>981</v>
      </c>
      <c r="H8" s="893" t="s">
        <v>982</v>
      </c>
      <c r="I8" s="893"/>
      <c r="J8" s="893"/>
      <c r="K8" s="893"/>
      <c r="L8" s="893"/>
      <c r="M8" s="893"/>
      <c r="N8" s="893"/>
      <c r="O8" s="893"/>
      <c r="P8" s="904"/>
      <c r="Q8" s="905"/>
      <c r="R8" s="905"/>
      <c r="S8" s="905"/>
      <c r="T8" s="906"/>
      <c r="U8" s="901"/>
      <c r="V8" s="902"/>
      <c r="W8" s="902"/>
      <c r="X8" s="902"/>
      <c r="Y8" s="903"/>
      <c r="Z8" s="893"/>
      <c r="AA8" s="895"/>
    </row>
    <row r="9" spans="1:33" s="726" customFormat="1" ht="16.5" customHeight="1">
      <c r="A9" s="914"/>
      <c r="B9" s="915"/>
      <c r="C9" s="915"/>
      <c r="D9" s="917"/>
      <c r="E9" s="917"/>
      <c r="F9" s="907"/>
      <c r="G9" s="893"/>
      <c r="H9" s="893" t="s">
        <v>983</v>
      </c>
      <c r="I9" s="893"/>
      <c r="J9" s="893"/>
      <c r="K9" s="893" t="s">
        <v>984</v>
      </c>
      <c r="L9" s="893"/>
      <c r="M9" s="893"/>
      <c r="N9" s="893"/>
      <c r="O9" s="893"/>
      <c r="P9" s="896" t="s">
        <v>985</v>
      </c>
      <c r="Q9" s="896" t="s">
        <v>198</v>
      </c>
      <c r="R9" s="896"/>
      <c r="S9" s="896"/>
      <c r="T9" s="896"/>
      <c r="U9" s="896" t="s">
        <v>985</v>
      </c>
      <c r="V9" s="896" t="s">
        <v>198</v>
      </c>
      <c r="W9" s="896"/>
      <c r="X9" s="896"/>
      <c r="Y9" s="896"/>
      <c r="Z9" s="893"/>
      <c r="AA9" s="895"/>
    </row>
    <row r="10" spans="1:33" s="726" customFormat="1" ht="15.75" customHeight="1">
      <c r="A10" s="914"/>
      <c r="B10" s="915"/>
      <c r="C10" s="915"/>
      <c r="D10" s="917"/>
      <c r="E10" s="917"/>
      <c r="F10" s="907"/>
      <c r="G10" s="893"/>
      <c r="H10" s="893" t="s">
        <v>161</v>
      </c>
      <c r="I10" s="893" t="s">
        <v>12</v>
      </c>
      <c r="J10" s="893"/>
      <c r="K10" s="893" t="s">
        <v>986</v>
      </c>
      <c r="L10" s="893" t="s">
        <v>987</v>
      </c>
      <c r="M10" s="893"/>
      <c r="N10" s="893"/>
      <c r="O10" s="893"/>
      <c r="P10" s="893"/>
      <c r="Q10" s="893" t="s">
        <v>988</v>
      </c>
      <c r="R10" s="893"/>
      <c r="S10" s="893"/>
      <c r="T10" s="893" t="s">
        <v>989</v>
      </c>
      <c r="U10" s="893"/>
      <c r="V10" s="893" t="s">
        <v>988</v>
      </c>
      <c r="W10" s="893"/>
      <c r="X10" s="893"/>
      <c r="Y10" s="893" t="s">
        <v>989</v>
      </c>
      <c r="Z10" s="893"/>
      <c r="AA10" s="895"/>
    </row>
    <row r="11" spans="1:33" s="726" customFormat="1" ht="21.75" customHeight="1">
      <c r="A11" s="914"/>
      <c r="B11" s="915"/>
      <c r="C11" s="915"/>
      <c r="D11" s="917"/>
      <c r="E11" s="917"/>
      <c r="F11" s="907"/>
      <c r="G11" s="893"/>
      <c r="H11" s="893"/>
      <c r="I11" s="893" t="s">
        <v>133</v>
      </c>
      <c r="J11" s="893" t="s">
        <v>990</v>
      </c>
      <c r="K11" s="893"/>
      <c r="L11" s="893" t="s">
        <v>161</v>
      </c>
      <c r="M11" s="893" t="s">
        <v>12</v>
      </c>
      <c r="N11" s="893"/>
      <c r="O11" s="893"/>
      <c r="P11" s="893"/>
      <c r="Q11" s="893" t="s">
        <v>991</v>
      </c>
      <c r="R11" s="893" t="s">
        <v>992</v>
      </c>
      <c r="S11" s="893" t="s">
        <v>993</v>
      </c>
      <c r="T11" s="893"/>
      <c r="U11" s="893"/>
      <c r="V11" s="893" t="s">
        <v>991</v>
      </c>
      <c r="W11" s="893" t="s">
        <v>992</v>
      </c>
      <c r="X11" s="893" t="s">
        <v>993</v>
      </c>
      <c r="Y11" s="893"/>
      <c r="Z11" s="893"/>
      <c r="AA11" s="895"/>
    </row>
    <row r="12" spans="1:33" s="726" customFormat="1" ht="57" customHeight="1">
      <c r="A12" s="914"/>
      <c r="B12" s="915"/>
      <c r="C12" s="915"/>
      <c r="D12" s="917"/>
      <c r="E12" s="917"/>
      <c r="F12" s="907"/>
      <c r="G12" s="893"/>
      <c r="H12" s="893"/>
      <c r="I12" s="893"/>
      <c r="J12" s="893"/>
      <c r="K12" s="893"/>
      <c r="L12" s="893"/>
      <c r="M12" s="727" t="s">
        <v>991</v>
      </c>
      <c r="N12" s="727" t="s">
        <v>992</v>
      </c>
      <c r="O12" s="727" t="s">
        <v>993</v>
      </c>
      <c r="P12" s="894"/>
      <c r="Q12" s="894"/>
      <c r="R12" s="894"/>
      <c r="S12" s="894"/>
      <c r="T12" s="894"/>
      <c r="U12" s="894"/>
      <c r="V12" s="894"/>
      <c r="W12" s="894"/>
      <c r="X12" s="894"/>
      <c r="Y12" s="894"/>
      <c r="Z12" s="893"/>
      <c r="AA12" s="895"/>
      <c r="AC12" s="728"/>
    </row>
    <row r="13" spans="1:33" s="758" customFormat="1" ht="18.600000000000001" customHeight="1">
      <c r="A13" s="753"/>
      <c r="B13" s="751" t="s">
        <v>138</v>
      </c>
      <c r="C13" s="753"/>
      <c r="D13" s="754"/>
      <c r="E13" s="754"/>
      <c r="F13" s="755"/>
      <c r="G13" s="752">
        <f t="shared" ref="G13:P13" si="0">SUM(G16:G16)</f>
        <v>0</v>
      </c>
      <c r="H13" s="752">
        <f t="shared" si="0"/>
        <v>0</v>
      </c>
      <c r="I13" s="752">
        <f t="shared" si="0"/>
        <v>0</v>
      </c>
      <c r="J13" s="752">
        <f t="shared" si="0"/>
        <v>0</v>
      </c>
      <c r="K13" s="752">
        <f t="shared" si="0"/>
        <v>0</v>
      </c>
      <c r="L13" s="752">
        <f t="shared" si="0"/>
        <v>0</v>
      </c>
      <c r="M13" s="752">
        <f t="shared" si="0"/>
        <v>0</v>
      </c>
      <c r="N13" s="752">
        <f t="shared" si="0"/>
        <v>0</v>
      </c>
      <c r="O13" s="752">
        <f t="shared" si="0"/>
        <v>0</v>
      </c>
      <c r="P13" s="752">
        <f t="shared" si="0"/>
        <v>0</v>
      </c>
      <c r="Q13" s="752"/>
      <c r="R13" s="752"/>
      <c r="S13" s="752">
        <f>SUM(S16:S16)</f>
        <v>0</v>
      </c>
      <c r="T13" s="752">
        <f>SUM(T16:T16)</f>
        <v>0</v>
      </c>
      <c r="U13" s="752">
        <f>U14+U18</f>
        <v>0</v>
      </c>
      <c r="V13" s="752"/>
      <c r="W13" s="752"/>
      <c r="X13" s="752">
        <f>X14+X18</f>
        <v>0</v>
      </c>
      <c r="Y13" s="752">
        <f>Y14+Y18</f>
        <v>0</v>
      </c>
      <c r="Z13" s="756"/>
      <c r="AA13" s="757"/>
      <c r="AD13" s="759"/>
      <c r="AE13" s="759"/>
      <c r="AF13" s="759"/>
      <c r="AG13" s="759"/>
    </row>
    <row r="14" spans="1:33" s="726" customFormat="1" ht="30" customHeight="1">
      <c r="A14" s="730" t="s">
        <v>22</v>
      </c>
      <c r="B14" s="729" t="s">
        <v>1015</v>
      </c>
      <c r="C14" s="730"/>
      <c r="D14" s="731"/>
      <c r="E14" s="731"/>
      <c r="F14" s="732"/>
      <c r="G14" s="733"/>
      <c r="H14" s="733"/>
      <c r="I14" s="733"/>
      <c r="J14" s="733"/>
      <c r="K14" s="733"/>
      <c r="L14" s="733"/>
      <c r="M14" s="733"/>
      <c r="N14" s="733"/>
      <c r="O14" s="733"/>
      <c r="P14" s="733"/>
      <c r="Q14" s="733"/>
      <c r="R14" s="733"/>
      <c r="S14" s="733"/>
      <c r="T14" s="733"/>
      <c r="U14" s="733">
        <f>U16</f>
        <v>0</v>
      </c>
      <c r="V14" s="733"/>
      <c r="W14" s="733"/>
      <c r="X14" s="733">
        <f>X16</f>
        <v>0</v>
      </c>
      <c r="Y14" s="733">
        <f>Y16</f>
        <v>0</v>
      </c>
      <c r="Z14" s="748"/>
      <c r="AA14" s="741"/>
      <c r="AD14" s="736"/>
      <c r="AE14" s="736"/>
      <c r="AF14" s="736"/>
      <c r="AG14" s="736"/>
    </row>
    <row r="15" spans="1:33" s="726" customFormat="1" ht="15">
      <c r="A15" s="592">
        <v>1</v>
      </c>
      <c r="B15" s="729"/>
      <c r="C15" s="730"/>
      <c r="D15" s="731"/>
      <c r="E15" s="731"/>
      <c r="F15" s="732"/>
      <c r="G15" s="733"/>
      <c r="H15" s="733"/>
      <c r="I15" s="733"/>
      <c r="J15" s="733"/>
      <c r="K15" s="733"/>
      <c r="L15" s="733"/>
      <c r="M15" s="733"/>
      <c r="N15" s="733"/>
      <c r="O15" s="733"/>
      <c r="P15" s="733"/>
      <c r="Q15" s="733"/>
      <c r="R15" s="733"/>
      <c r="S15" s="733"/>
      <c r="T15" s="733"/>
      <c r="U15" s="733"/>
      <c r="V15" s="733"/>
      <c r="W15" s="733"/>
      <c r="X15" s="733"/>
      <c r="Y15" s="733"/>
      <c r="Z15" s="748"/>
      <c r="AA15" s="741"/>
      <c r="AD15" s="736"/>
      <c r="AE15" s="736"/>
      <c r="AF15" s="736"/>
      <c r="AG15" s="736"/>
    </row>
    <row r="16" spans="1:33" s="725" customFormat="1" ht="15">
      <c r="A16" s="592">
        <v>2</v>
      </c>
      <c r="B16" s="590"/>
      <c r="C16" s="592"/>
      <c r="D16" s="734"/>
      <c r="E16" s="734"/>
      <c r="F16" s="595"/>
      <c r="G16" s="742"/>
      <c r="H16" s="742"/>
      <c r="I16" s="742"/>
      <c r="J16" s="742"/>
      <c r="K16" s="743"/>
      <c r="L16" s="742"/>
      <c r="M16" s="742"/>
      <c r="N16" s="742"/>
      <c r="O16" s="742"/>
      <c r="P16" s="742"/>
      <c r="Q16" s="742"/>
      <c r="R16" s="742"/>
      <c r="S16" s="742"/>
      <c r="T16" s="750"/>
      <c r="U16" s="742"/>
      <c r="V16" s="742"/>
      <c r="W16" s="742"/>
      <c r="X16" s="742"/>
      <c r="Y16" s="742"/>
      <c r="Z16" s="761"/>
      <c r="AA16" s="741"/>
      <c r="AD16" s="735"/>
      <c r="AE16" s="735"/>
      <c r="AF16" s="735"/>
      <c r="AG16" s="735"/>
    </row>
    <row r="17" spans="1:33" s="725" customFormat="1" ht="15">
      <c r="A17" s="592" t="s">
        <v>1019</v>
      </c>
      <c r="B17" s="590"/>
      <c r="C17" s="592"/>
      <c r="D17" s="734"/>
      <c r="E17" s="734"/>
      <c r="F17" s="595"/>
      <c r="G17" s="742"/>
      <c r="H17" s="742"/>
      <c r="I17" s="742"/>
      <c r="J17" s="742"/>
      <c r="K17" s="743"/>
      <c r="L17" s="742"/>
      <c r="M17" s="742"/>
      <c r="N17" s="742"/>
      <c r="O17" s="742"/>
      <c r="P17" s="742"/>
      <c r="Q17" s="742"/>
      <c r="R17" s="742"/>
      <c r="S17" s="742"/>
      <c r="T17" s="750"/>
      <c r="U17" s="742"/>
      <c r="V17" s="742"/>
      <c r="W17" s="742"/>
      <c r="X17" s="742"/>
      <c r="Y17" s="742"/>
      <c r="Z17" s="761"/>
      <c r="AA17" s="741"/>
      <c r="AD17" s="735"/>
      <c r="AE17" s="735"/>
      <c r="AF17" s="735"/>
      <c r="AG17" s="735"/>
    </row>
    <row r="18" spans="1:33" s="726" customFormat="1" ht="35.25" customHeight="1">
      <c r="A18" s="730" t="s">
        <v>66</v>
      </c>
      <c r="B18" s="729" t="s">
        <v>662</v>
      </c>
      <c r="C18" s="730"/>
      <c r="D18" s="731"/>
      <c r="E18" s="731"/>
      <c r="F18" s="732"/>
      <c r="G18" s="733"/>
      <c r="H18" s="733"/>
      <c r="I18" s="733"/>
      <c r="J18" s="733"/>
      <c r="K18" s="733"/>
      <c r="L18" s="733"/>
      <c r="M18" s="733"/>
      <c r="N18" s="733"/>
      <c r="O18" s="733"/>
      <c r="P18" s="742">
        <f>SUM(S18:T18)</f>
        <v>0</v>
      </c>
      <c r="Q18" s="742"/>
      <c r="R18" s="742"/>
      <c r="S18" s="733"/>
      <c r="T18" s="733"/>
      <c r="U18" s="762"/>
      <c r="V18" s="762"/>
      <c r="W18" s="762"/>
      <c r="X18" s="762"/>
      <c r="Y18" s="762"/>
      <c r="Z18" s="748"/>
      <c r="AA18" s="741"/>
      <c r="AD18" s="736"/>
      <c r="AE18" s="736"/>
      <c r="AF18" s="736"/>
      <c r="AG18" s="736"/>
    </row>
    <row r="19" spans="1:33" s="726" customFormat="1" ht="24.75" customHeight="1">
      <c r="A19" s="777">
        <v>1</v>
      </c>
      <c r="B19" s="778"/>
      <c r="C19" s="777"/>
      <c r="D19" s="779"/>
      <c r="E19" s="779"/>
      <c r="F19" s="780"/>
      <c r="G19" s="781"/>
      <c r="H19" s="781"/>
      <c r="I19" s="781"/>
      <c r="J19" s="781"/>
      <c r="K19" s="781"/>
      <c r="L19" s="781"/>
      <c r="M19" s="781"/>
      <c r="N19" s="781"/>
      <c r="O19" s="781"/>
      <c r="P19" s="782"/>
      <c r="Q19" s="782"/>
      <c r="R19" s="782"/>
      <c r="S19" s="781"/>
      <c r="T19" s="781"/>
      <c r="U19" s="783"/>
      <c r="V19" s="783"/>
      <c r="W19" s="783"/>
      <c r="X19" s="783"/>
      <c r="Y19" s="783"/>
      <c r="Z19" s="784"/>
      <c r="AA19" s="741"/>
      <c r="AD19" s="736"/>
      <c r="AE19" s="736"/>
      <c r="AF19" s="736"/>
      <c r="AG19" s="736"/>
    </row>
    <row r="20" spans="1:33" s="726" customFormat="1" ht="27" customHeight="1">
      <c r="A20" s="785">
        <v>2</v>
      </c>
      <c r="B20" s="778"/>
      <c r="C20" s="777"/>
      <c r="D20" s="779"/>
      <c r="E20" s="779"/>
      <c r="F20" s="780"/>
      <c r="G20" s="781"/>
      <c r="H20" s="781"/>
      <c r="I20" s="781"/>
      <c r="J20" s="781"/>
      <c r="K20" s="781"/>
      <c r="L20" s="781"/>
      <c r="M20" s="781"/>
      <c r="N20" s="781"/>
      <c r="O20" s="781"/>
      <c r="P20" s="782"/>
      <c r="Q20" s="782"/>
      <c r="R20" s="782"/>
      <c r="S20" s="781"/>
      <c r="T20" s="781"/>
      <c r="U20" s="783"/>
      <c r="V20" s="783"/>
      <c r="W20" s="783"/>
      <c r="X20" s="783"/>
      <c r="Y20" s="783"/>
      <c r="Z20" s="784"/>
      <c r="AA20" s="741"/>
      <c r="AD20" s="736"/>
      <c r="AE20" s="736"/>
      <c r="AF20" s="736"/>
      <c r="AG20" s="736"/>
    </row>
    <row r="21" spans="1:33" s="725" customFormat="1" ht="17.25" customHeight="1">
      <c r="A21" s="749" t="s">
        <v>1019</v>
      </c>
      <c r="B21" s="737"/>
      <c r="C21" s="737"/>
      <c r="D21" s="737"/>
      <c r="E21" s="737"/>
      <c r="F21" s="737"/>
      <c r="G21" s="737"/>
      <c r="H21" s="737"/>
      <c r="I21" s="737"/>
      <c r="J21" s="737"/>
      <c r="K21" s="737"/>
      <c r="L21" s="737"/>
      <c r="M21" s="737"/>
      <c r="N21" s="737"/>
      <c r="O21" s="737"/>
      <c r="P21" s="738"/>
      <c r="Q21" s="738"/>
      <c r="R21" s="738"/>
      <c r="S21" s="738"/>
      <c r="T21" s="738"/>
      <c r="U21" s="737"/>
      <c r="V21" s="737"/>
      <c r="W21" s="737"/>
      <c r="X21" s="737"/>
      <c r="Y21" s="737"/>
      <c r="Z21" s="737"/>
    </row>
    <row r="22" spans="1:33" ht="15.75" customHeight="1">
      <c r="A22" s="745"/>
      <c r="B22" s="746"/>
      <c r="C22" s="746"/>
      <c r="D22" s="746"/>
      <c r="E22" s="746"/>
      <c r="F22" s="746"/>
      <c r="G22" s="746"/>
      <c r="H22" s="746"/>
      <c r="I22" s="746"/>
      <c r="J22" s="746"/>
      <c r="K22" s="746"/>
      <c r="L22" s="746"/>
      <c r="M22" s="746"/>
      <c r="N22" s="746"/>
      <c r="O22" s="746"/>
      <c r="P22" s="746"/>
      <c r="Q22" s="746"/>
      <c r="R22" s="746"/>
      <c r="S22" s="746"/>
      <c r="T22" s="746"/>
      <c r="U22" s="746"/>
      <c r="V22" s="746"/>
      <c r="W22" s="746"/>
      <c r="X22" s="746"/>
      <c r="Y22" s="746"/>
      <c r="Z22" s="746"/>
    </row>
    <row r="23" spans="1:33">
      <c r="A23" s="747"/>
    </row>
    <row r="24" spans="1:33">
      <c r="A24" s="747"/>
    </row>
    <row r="25" spans="1:33">
      <c r="A25" s="747"/>
    </row>
    <row r="26" spans="1:33">
      <c r="A26" s="747"/>
    </row>
    <row r="27" spans="1:33">
      <c r="A27" s="747"/>
    </row>
    <row r="28" spans="1:33">
      <c r="A28" s="747"/>
    </row>
    <row r="29" spans="1:33">
      <c r="A29" s="747"/>
    </row>
    <row r="30" spans="1:33">
      <c r="A30" s="747"/>
    </row>
    <row r="31" spans="1:33">
      <c r="A31" s="747"/>
    </row>
    <row r="32" spans="1:33">
      <c r="A32" s="747"/>
    </row>
    <row r="33" spans="1:1">
      <c r="A33" s="747"/>
    </row>
    <row r="34" spans="1:1">
      <c r="A34" s="747"/>
    </row>
    <row r="35" spans="1:1">
      <c r="A35" s="747"/>
    </row>
    <row r="36" spans="1:1">
      <c r="A36" s="747"/>
    </row>
    <row r="37" spans="1:1">
      <c r="A37" s="747"/>
    </row>
    <row r="38" spans="1:1">
      <c r="A38" s="747"/>
    </row>
    <row r="39" spans="1:1">
      <c r="A39" s="747"/>
    </row>
    <row r="40" spans="1:1">
      <c r="A40" s="747"/>
    </row>
    <row r="41" spans="1:1">
      <c r="A41" s="747"/>
    </row>
    <row r="42" spans="1:1">
      <c r="A42" s="747"/>
    </row>
    <row r="43" spans="1:1">
      <c r="A43" s="747"/>
    </row>
    <row r="44" spans="1:1">
      <c r="A44" s="747"/>
    </row>
    <row r="45" spans="1:1">
      <c r="A45" s="747"/>
    </row>
    <row r="46" spans="1:1">
      <c r="A46" s="747"/>
    </row>
    <row r="47" spans="1:1">
      <c r="A47" s="747"/>
    </row>
    <row r="48" spans="1:1">
      <c r="A48" s="747"/>
    </row>
    <row r="49" spans="1:1">
      <c r="A49" s="747"/>
    </row>
    <row r="50" spans="1:1">
      <c r="A50" s="747"/>
    </row>
    <row r="51" spans="1:1">
      <c r="A51" s="747"/>
    </row>
  </sheetData>
  <mergeCells count="43">
    <mergeCell ref="A6:A12"/>
    <mergeCell ref="B6:B12"/>
    <mergeCell ref="C6:C12"/>
    <mergeCell ref="D6:D12"/>
    <mergeCell ref="E6:E12"/>
    <mergeCell ref="A1:Z1"/>
    <mergeCell ref="A2:Z2"/>
    <mergeCell ref="A3:Z3"/>
    <mergeCell ref="A4:Z4"/>
    <mergeCell ref="A5:Z5"/>
    <mergeCell ref="F7:F12"/>
    <mergeCell ref="G7:O7"/>
    <mergeCell ref="G8:G12"/>
    <mergeCell ref="H8:O8"/>
    <mergeCell ref="H9:J9"/>
    <mergeCell ref="K9:O9"/>
    <mergeCell ref="I11:I12"/>
    <mergeCell ref="J11:J12"/>
    <mergeCell ref="H10:H12"/>
    <mergeCell ref="I10:J10"/>
    <mergeCell ref="K10:K12"/>
    <mergeCell ref="L10:O10"/>
    <mergeCell ref="AA6:AA12"/>
    <mergeCell ref="P9:P12"/>
    <mergeCell ref="F6:O6"/>
    <mergeCell ref="P6:T8"/>
    <mergeCell ref="Z6:Z12"/>
    <mergeCell ref="U6:Y8"/>
    <mergeCell ref="Y10:Y12"/>
    <mergeCell ref="V10:X10"/>
    <mergeCell ref="V9:Y9"/>
    <mergeCell ref="V11:V12"/>
    <mergeCell ref="W11:W12"/>
    <mergeCell ref="X11:X12"/>
    <mergeCell ref="L11:L12"/>
    <mergeCell ref="T10:T12"/>
    <mergeCell ref="U9:U12"/>
    <mergeCell ref="Q9:T9"/>
    <mergeCell ref="Q10:S10"/>
    <mergeCell ref="Q11:Q12"/>
    <mergeCell ref="R11:R12"/>
    <mergeCell ref="S11:S12"/>
    <mergeCell ref="M11:O11"/>
  </mergeCells>
  <dataValidations count="2">
    <dataValidation type="whole" operator="lessThanOrEqual" allowBlank="1" showInputMessage="1" showErrorMessage="1" error="Thời gian bắt đầu không được lớn hơn thời gian kết thúc!" sqref="D13:D20"/>
    <dataValidation type="whole" operator="greaterThanOrEqual" allowBlank="1" showInputMessage="1" showErrorMessage="1" error="Thời gian bắt đầu không được lớn hơn thời gian kết thúc!" sqref="E13:E20"/>
  </dataValidations>
  <printOptions horizontalCentered="1"/>
  <pageMargins left="0.2" right="0.2" top="0.5" bottom="0.5" header="0.3" footer="0.3"/>
  <pageSetup paperSize="9" scale="58" orientation="landscape" verticalDpi="0" r:id="rId1"/>
  <colBreaks count="1" manualBreakCount="1">
    <brk id="26" max="1048575" man="1"/>
  </col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1:IJ29"/>
  <sheetViews>
    <sheetView topLeftCell="C4" zoomScaleNormal="100" workbookViewId="0">
      <selection activeCell="G15" sqref="G15"/>
    </sheetView>
  </sheetViews>
  <sheetFormatPr defaultColWidth="9.140625" defaultRowHeight="15" outlineLevelRow="1" outlineLevelCol="1"/>
  <cols>
    <col min="1" max="1" width="5" style="9" customWidth="1"/>
    <col min="2" max="2" width="32.140625" style="9" customWidth="1"/>
    <col min="3" max="3" width="16.42578125" style="9" customWidth="1"/>
    <col min="4" max="4" width="6.85546875" style="9" customWidth="1" outlineLevel="1"/>
    <col min="5" max="5" width="16.42578125" style="9" hidden="1" customWidth="1" outlineLevel="1"/>
    <col min="6" max="6" width="7.42578125" style="9" customWidth="1" outlineLevel="1"/>
    <col min="7" max="7" width="13.7109375" style="9" customWidth="1" outlineLevel="1"/>
    <col min="8" max="8" width="12.7109375" style="9" customWidth="1"/>
    <col min="9" max="9" width="12" style="9" customWidth="1"/>
    <col min="10" max="10" width="10.28515625" style="9" customWidth="1"/>
    <col min="11" max="11" width="10.42578125" style="9" customWidth="1" outlineLevel="1"/>
    <col min="12" max="12" width="12.7109375" style="836" customWidth="1"/>
    <col min="13" max="13" width="15.28515625" style="836" customWidth="1"/>
    <col min="14" max="14" width="12.7109375" style="836" customWidth="1"/>
    <col min="15" max="15" width="12.140625" style="190" customWidth="1"/>
    <col min="16" max="16" width="55.7109375" style="190" hidden="1" customWidth="1" outlineLevel="1"/>
    <col min="17" max="17" width="13.28515625" style="9" hidden="1" customWidth="1" collapsed="1"/>
    <col min="18" max="18" width="27.7109375" style="9" hidden="1" customWidth="1" outlineLevel="1"/>
    <col min="19" max="19" width="13.28515625" style="9" hidden="1" customWidth="1" outlineLevel="1"/>
    <col min="20" max="20" width="21.140625" style="9" hidden="1" customWidth="1" outlineLevel="1"/>
    <col min="21" max="21" width="17.28515625" style="9" hidden="1" customWidth="1" outlineLevel="1"/>
    <col min="22" max="22" width="13.28515625" style="9" hidden="1" customWidth="1" outlineLevel="1"/>
    <col min="23" max="23" width="13.7109375" style="9" hidden="1" customWidth="1" outlineLevel="1"/>
    <col min="24" max="24" width="12.140625" style="9" hidden="1" customWidth="1" outlineLevel="1"/>
    <col min="25" max="25" width="9.7109375" style="9" hidden="1" customWidth="1" outlineLevel="1"/>
    <col min="26" max="26" width="10.42578125" style="9" hidden="1" customWidth="1" outlineLevel="1"/>
    <col min="27" max="27" width="14.7109375" style="9" hidden="1" customWidth="1" outlineLevel="1"/>
    <col min="28" max="28" width="12.7109375" style="9" hidden="1" customWidth="1" outlineLevel="1"/>
    <col min="29" max="29" width="11.42578125" style="9" hidden="1" customWidth="1" outlineLevel="1"/>
    <col min="30" max="30" width="9.140625" style="9" hidden="1" customWidth="1" outlineLevel="1"/>
    <col min="31" max="31" width="25.7109375" style="9" hidden="1" customWidth="1" outlineLevel="1"/>
    <col min="32" max="32" width="12.28515625" style="9" hidden="1" customWidth="1" outlineLevel="1"/>
    <col min="33" max="33" width="10.140625" style="9" hidden="1" customWidth="1" outlineLevel="1"/>
    <col min="34" max="34" width="0.42578125" style="9" hidden="1" customWidth="1" outlineLevel="1"/>
    <col min="35" max="35" width="12.42578125" style="9" hidden="1" customWidth="1" collapsed="1"/>
    <col min="36" max="36" width="13" style="9" customWidth="1"/>
    <col min="37" max="120" width="9.140625" style="9"/>
    <col min="121" max="121" width="15" style="9" customWidth="1"/>
    <col min="122" max="161" width="9.140625" style="9"/>
    <col min="162" max="162" width="3.7109375" style="9" customWidth="1"/>
    <col min="163" max="163" width="13.42578125" style="9" customWidth="1"/>
    <col min="164" max="164" width="15.140625" style="9" customWidth="1"/>
    <col min="165" max="165" width="15.7109375" style="9" customWidth="1"/>
    <col min="166" max="166" width="17.42578125" style="9" customWidth="1"/>
    <col min="167" max="167" width="9.140625" style="9"/>
    <col min="168" max="168" width="16.85546875" style="9" customWidth="1"/>
    <col min="169" max="16384" width="9.140625" style="9"/>
  </cols>
  <sheetData>
    <row r="1" spans="1:244" ht="20.25">
      <c r="A1" s="926" t="s">
        <v>994</v>
      </c>
      <c r="B1" s="926"/>
      <c r="C1" s="926"/>
      <c r="D1" s="926"/>
      <c r="E1" s="926"/>
      <c r="F1" s="926"/>
      <c r="G1" s="926"/>
      <c r="H1" s="926"/>
      <c r="I1" s="926"/>
      <c r="J1" s="926"/>
      <c r="K1" s="926"/>
      <c r="L1" s="926"/>
      <c r="M1" s="926"/>
      <c r="N1" s="926"/>
      <c r="O1" s="926"/>
      <c r="P1" s="926"/>
      <c r="Q1" s="789"/>
      <c r="R1" s="789"/>
      <c r="S1" s="789"/>
      <c r="T1" s="789"/>
      <c r="U1" s="789"/>
      <c r="V1" s="789"/>
      <c r="W1" s="789"/>
      <c r="X1" s="789"/>
      <c r="Y1" s="789"/>
      <c r="Z1" s="789"/>
      <c r="AA1" s="789"/>
      <c r="AB1" s="789"/>
      <c r="AC1" s="789"/>
      <c r="AD1" s="789"/>
      <c r="AE1" s="789"/>
      <c r="AF1" s="789"/>
      <c r="AG1" s="789">
        <v>40655000</v>
      </c>
      <c r="AH1" s="789" t="e">
        <f>+#REF!/AG1*100</f>
        <v>#REF!</v>
      </c>
      <c r="AI1" s="789"/>
      <c r="AJ1" s="789"/>
      <c r="AK1" s="789"/>
      <c r="AL1" s="789"/>
      <c r="AM1" s="789"/>
      <c r="AN1" s="789"/>
      <c r="AO1" s="789"/>
      <c r="AP1" s="789"/>
      <c r="AQ1" s="789"/>
      <c r="AR1" s="789"/>
      <c r="AS1" s="789"/>
      <c r="AT1" s="789"/>
      <c r="AU1" s="789"/>
      <c r="AV1" s="789"/>
      <c r="AW1" s="789"/>
      <c r="AX1" s="789"/>
      <c r="AY1" s="789"/>
      <c r="AZ1" s="789"/>
      <c r="BA1" s="789"/>
      <c r="BB1" s="789"/>
      <c r="BC1" s="789"/>
      <c r="BD1" s="789"/>
      <c r="BE1" s="789"/>
      <c r="BF1" s="789"/>
      <c r="BG1" s="789"/>
      <c r="BH1" s="789"/>
      <c r="BI1" s="789"/>
      <c r="BJ1" s="789"/>
      <c r="BK1" s="789"/>
      <c r="BL1" s="789"/>
      <c r="BM1" s="789"/>
      <c r="BN1" s="789"/>
      <c r="BO1" s="789"/>
      <c r="BP1" s="789"/>
      <c r="BQ1" s="789"/>
      <c r="BR1" s="789"/>
      <c r="BS1" s="789"/>
      <c r="BT1" s="789"/>
      <c r="BU1" s="789"/>
      <c r="BV1" s="789"/>
      <c r="BW1" s="789"/>
      <c r="BX1" s="789"/>
      <c r="BY1" s="789"/>
      <c r="BZ1" s="789"/>
      <c r="CA1" s="789"/>
      <c r="CB1" s="789"/>
      <c r="CC1" s="789"/>
      <c r="CD1" s="789"/>
      <c r="CE1" s="789"/>
      <c r="CF1" s="789"/>
      <c r="CG1" s="789"/>
      <c r="CH1" s="789"/>
      <c r="CI1" s="789"/>
      <c r="CJ1" s="789"/>
      <c r="CK1" s="789"/>
      <c r="CL1" s="789"/>
      <c r="CM1" s="789"/>
      <c r="CN1" s="789"/>
      <c r="CO1" s="789"/>
      <c r="CP1" s="789"/>
      <c r="CQ1" s="789"/>
      <c r="CR1" s="789"/>
      <c r="CS1" s="789"/>
      <c r="CT1" s="789"/>
      <c r="CU1" s="789"/>
      <c r="CV1" s="789"/>
      <c r="CW1" s="789"/>
      <c r="CX1" s="789"/>
      <c r="CY1" s="789"/>
      <c r="CZ1" s="789"/>
      <c r="DA1" s="789"/>
      <c r="DB1" s="789"/>
      <c r="DC1" s="789"/>
      <c r="DD1" s="789"/>
      <c r="DE1" s="789"/>
      <c r="DF1" s="789"/>
      <c r="DG1" s="789"/>
      <c r="DH1" s="789"/>
      <c r="DI1" s="789"/>
      <c r="DJ1" s="789"/>
      <c r="DK1" s="789"/>
      <c r="DL1" s="789"/>
      <c r="DM1" s="789"/>
      <c r="DN1" s="789"/>
      <c r="DO1" s="789"/>
      <c r="DP1" s="789"/>
      <c r="DQ1" s="789"/>
      <c r="DR1" s="789"/>
      <c r="DS1" s="789"/>
      <c r="DT1" s="789"/>
      <c r="DU1" s="789"/>
      <c r="DV1" s="789"/>
      <c r="DW1" s="789"/>
      <c r="DX1" s="789"/>
      <c r="DY1" s="789"/>
      <c r="DZ1" s="789"/>
      <c r="EA1" s="789"/>
      <c r="EB1" s="789"/>
      <c r="EC1" s="789"/>
      <c r="ED1" s="789"/>
      <c r="EE1" s="789"/>
      <c r="EF1" s="789"/>
      <c r="EG1" s="789"/>
      <c r="EH1" s="789"/>
      <c r="EI1" s="789"/>
      <c r="EJ1" s="789"/>
      <c r="EK1" s="789"/>
      <c r="EL1" s="789"/>
      <c r="EM1" s="789"/>
      <c r="EN1" s="789"/>
      <c r="EO1" s="789"/>
      <c r="EP1" s="789"/>
      <c r="EQ1" s="789"/>
      <c r="ER1" s="789"/>
      <c r="ES1" s="789"/>
      <c r="ET1" s="789"/>
      <c r="EU1" s="789"/>
      <c r="EV1" s="789"/>
      <c r="EW1" s="789"/>
      <c r="EX1" s="789"/>
      <c r="EY1" s="789"/>
      <c r="EZ1" s="789"/>
      <c r="FA1" s="789"/>
      <c r="FB1" s="789"/>
      <c r="FC1" s="789"/>
      <c r="FD1" s="789"/>
      <c r="FE1" s="789"/>
      <c r="FF1" s="789"/>
      <c r="FG1" s="789"/>
      <c r="FH1" s="789"/>
      <c r="FI1" s="789"/>
      <c r="FJ1" s="789"/>
      <c r="FK1" s="789"/>
      <c r="FL1" s="789"/>
      <c r="FM1" s="789"/>
      <c r="FN1" s="789"/>
      <c r="FO1" s="789"/>
      <c r="FP1" s="789"/>
      <c r="FQ1" s="789"/>
      <c r="FR1" s="789"/>
      <c r="FS1" s="789"/>
      <c r="FT1" s="789"/>
      <c r="FU1" s="789"/>
      <c r="FV1" s="789"/>
      <c r="FW1" s="789"/>
      <c r="FX1" s="789"/>
      <c r="FY1" s="789"/>
      <c r="FZ1" s="789"/>
      <c r="GA1" s="789"/>
      <c r="GB1" s="789"/>
      <c r="GC1" s="789"/>
      <c r="GD1" s="789"/>
      <c r="GE1" s="789"/>
      <c r="GF1" s="789"/>
      <c r="GG1" s="789"/>
      <c r="GH1" s="789"/>
      <c r="GI1" s="789"/>
      <c r="GJ1" s="789"/>
      <c r="GK1" s="789"/>
      <c r="GL1" s="789"/>
      <c r="GM1" s="789"/>
      <c r="GN1" s="789"/>
      <c r="GO1" s="789"/>
      <c r="GP1" s="789"/>
      <c r="GQ1" s="789"/>
      <c r="GR1" s="789"/>
      <c r="GS1" s="789"/>
      <c r="GT1" s="789"/>
      <c r="GU1" s="789"/>
      <c r="GV1" s="789"/>
      <c r="GW1" s="789"/>
      <c r="GX1" s="789"/>
      <c r="GY1" s="789"/>
      <c r="GZ1" s="789"/>
      <c r="HA1" s="789"/>
      <c r="HB1" s="789"/>
      <c r="HC1" s="789"/>
      <c r="HD1" s="789"/>
      <c r="HE1" s="789"/>
      <c r="HF1" s="789"/>
      <c r="HG1" s="789"/>
      <c r="HH1" s="789"/>
      <c r="HI1" s="789"/>
      <c r="HJ1" s="789"/>
      <c r="HK1" s="789"/>
      <c r="HL1" s="789"/>
      <c r="HM1" s="789"/>
      <c r="HN1" s="789"/>
      <c r="HO1" s="789"/>
      <c r="HP1" s="789"/>
      <c r="HQ1" s="789"/>
      <c r="HR1" s="789"/>
      <c r="HS1" s="789"/>
      <c r="HT1" s="789"/>
      <c r="HU1" s="789"/>
      <c r="HV1" s="789"/>
      <c r="HW1" s="789"/>
      <c r="HX1" s="789"/>
      <c r="HY1" s="789"/>
      <c r="HZ1" s="789"/>
      <c r="IA1" s="789"/>
      <c r="IB1" s="789"/>
      <c r="IC1" s="789"/>
      <c r="ID1" s="789"/>
      <c r="IE1" s="789"/>
      <c r="IF1" s="789"/>
      <c r="IG1" s="789"/>
      <c r="IH1" s="789"/>
      <c r="II1" s="789"/>
      <c r="IJ1" s="789"/>
    </row>
    <row r="2" spans="1:244" ht="20.25">
      <c r="A2" s="926" t="s">
        <v>1002</v>
      </c>
      <c r="B2" s="926"/>
      <c r="C2" s="926"/>
      <c r="D2" s="926"/>
      <c r="E2" s="926"/>
      <c r="F2" s="926"/>
      <c r="G2" s="926"/>
      <c r="H2" s="926"/>
      <c r="I2" s="926"/>
      <c r="J2" s="926"/>
      <c r="K2" s="926"/>
      <c r="L2" s="926"/>
      <c r="M2" s="926"/>
      <c r="N2" s="926"/>
      <c r="O2" s="926"/>
      <c r="P2" s="790"/>
      <c r="Q2" s="789"/>
      <c r="R2" s="789"/>
      <c r="S2" s="789"/>
      <c r="T2" s="789"/>
      <c r="U2" s="789"/>
      <c r="V2" s="789"/>
      <c r="W2" s="789"/>
      <c r="X2" s="789"/>
      <c r="Y2" s="789"/>
      <c r="Z2" s="789"/>
      <c r="AA2" s="789"/>
      <c r="AB2" s="789"/>
      <c r="AC2" s="789"/>
      <c r="AD2" s="789"/>
      <c r="AE2" s="789"/>
      <c r="AF2" s="789"/>
      <c r="AG2" s="789"/>
      <c r="AH2" s="789"/>
      <c r="AI2" s="789"/>
      <c r="AJ2" s="789"/>
      <c r="AK2" s="789"/>
      <c r="AL2" s="789"/>
      <c r="AM2" s="789"/>
      <c r="AN2" s="789"/>
      <c r="AO2" s="789"/>
      <c r="AP2" s="789"/>
      <c r="AQ2" s="789"/>
      <c r="AR2" s="789"/>
      <c r="AS2" s="789"/>
      <c r="AT2" s="789"/>
      <c r="AU2" s="789"/>
      <c r="AV2" s="789"/>
      <c r="AW2" s="789"/>
      <c r="AX2" s="789"/>
      <c r="AY2" s="789"/>
      <c r="AZ2" s="789"/>
      <c r="BA2" s="789"/>
      <c r="BB2" s="789"/>
      <c r="BC2" s="789"/>
      <c r="BD2" s="789"/>
      <c r="BE2" s="789"/>
      <c r="BF2" s="789"/>
      <c r="BG2" s="789"/>
      <c r="BH2" s="789"/>
      <c r="BI2" s="789"/>
      <c r="BJ2" s="789"/>
      <c r="BK2" s="789"/>
      <c r="BL2" s="789"/>
      <c r="BM2" s="789"/>
      <c r="BN2" s="789"/>
      <c r="BO2" s="789"/>
      <c r="BP2" s="789"/>
      <c r="BQ2" s="789"/>
      <c r="BR2" s="789"/>
      <c r="BS2" s="789"/>
      <c r="BT2" s="789"/>
      <c r="BU2" s="789"/>
      <c r="BV2" s="789"/>
      <c r="BW2" s="789"/>
      <c r="BX2" s="789"/>
      <c r="BY2" s="789"/>
      <c r="BZ2" s="789"/>
      <c r="CA2" s="789"/>
      <c r="CB2" s="789"/>
      <c r="CC2" s="789"/>
      <c r="CD2" s="789"/>
      <c r="CE2" s="789"/>
      <c r="CF2" s="789"/>
      <c r="CG2" s="789"/>
      <c r="CH2" s="789"/>
      <c r="CI2" s="789"/>
      <c r="CJ2" s="789"/>
      <c r="CK2" s="789"/>
      <c r="CL2" s="789"/>
      <c r="CM2" s="789"/>
      <c r="CN2" s="789"/>
      <c r="CO2" s="789"/>
      <c r="CP2" s="789"/>
      <c r="CQ2" s="789"/>
      <c r="CR2" s="789"/>
      <c r="CS2" s="789"/>
      <c r="CT2" s="789"/>
      <c r="CU2" s="789"/>
      <c r="CV2" s="789"/>
      <c r="CW2" s="789"/>
      <c r="CX2" s="789"/>
      <c r="CY2" s="789"/>
      <c r="CZ2" s="789"/>
      <c r="DA2" s="789"/>
      <c r="DB2" s="789"/>
      <c r="DC2" s="789"/>
      <c r="DD2" s="789"/>
      <c r="DE2" s="789"/>
      <c r="DF2" s="789"/>
      <c r="DG2" s="789"/>
      <c r="DH2" s="789"/>
      <c r="DI2" s="789"/>
      <c r="DJ2" s="789"/>
      <c r="DK2" s="789"/>
      <c r="DL2" s="789"/>
      <c r="DM2" s="789"/>
      <c r="DN2" s="789"/>
      <c r="DO2" s="789"/>
      <c r="DP2" s="789"/>
      <c r="DQ2" s="789"/>
      <c r="DR2" s="789"/>
      <c r="DS2" s="789"/>
      <c r="DT2" s="789"/>
      <c r="DU2" s="789"/>
      <c r="DV2" s="789"/>
      <c r="DW2" s="789"/>
      <c r="DX2" s="789"/>
      <c r="DY2" s="789"/>
      <c r="DZ2" s="789"/>
      <c r="EA2" s="789"/>
      <c r="EB2" s="789"/>
      <c r="EC2" s="789"/>
      <c r="ED2" s="789"/>
      <c r="EE2" s="789"/>
      <c r="EF2" s="789"/>
      <c r="EG2" s="789"/>
      <c r="EH2" s="789"/>
      <c r="EI2" s="789"/>
      <c r="EJ2" s="789"/>
      <c r="EK2" s="789"/>
      <c r="EL2" s="789"/>
      <c r="EM2" s="789"/>
      <c r="EN2" s="789"/>
      <c r="EO2" s="789"/>
      <c r="EP2" s="789"/>
      <c r="EQ2" s="789"/>
      <c r="ER2" s="789"/>
      <c r="ES2" s="789"/>
      <c r="ET2" s="789"/>
      <c r="EU2" s="789"/>
      <c r="EV2" s="789"/>
      <c r="EW2" s="789"/>
      <c r="EX2" s="789"/>
      <c r="EY2" s="789"/>
      <c r="EZ2" s="789"/>
      <c r="FA2" s="789"/>
      <c r="FB2" s="789"/>
      <c r="FC2" s="789"/>
      <c r="FD2" s="789"/>
      <c r="FE2" s="789"/>
      <c r="FF2" s="789"/>
      <c r="FG2" s="789"/>
      <c r="FH2" s="789"/>
      <c r="FI2" s="789"/>
      <c r="FJ2" s="789"/>
      <c r="FK2" s="789"/>
      <c r="FL2" s="789"/>
      <c r="FM2" s="789"/>
      <c r="FN2" s="789"/>
      <c r="FO2" s="789"/>
      <c r="FP2" s="789"/>
      <c r="FQ2" s="789"/>
      <c r="FR2" s="789"/>
      <c r="FS2" s="789"/>
      <c r="FT2" s="789"/>
      <c r="FU2" s="789"/>
      <c r="FV2" s="789"/>
      <c r="FW2" s="789"/>
      <c r="FX2" s="789"/>
      <c r="FY2" s="789"/>
      <c r="FZ2" s="789"/>
      <c r="GA2" s="789"/>
      <c r="GB2" s="789"/>
      <c r="GC2" s="789"/>
      <c r="GD2" s="789"/>
      <c r="GE2" s="789"/>
      <c r="GF2" s="789"/>
      <c r="GG2" s="789"/>
      <c r="GH2" s="789"/>
      <c r="GI2" s="789"/>
      <c r="GJ2" s="789"/>
      <c r="GK2" s="789"/>
      <c r="GL2" s="789"/>
      <c r="GM2" s="789"/>
      <c r="GN2" s="789"/>
      <c r="GO2" s="789"/>
      <c r="GP2" s="789"/>
      <c r="GQ2" s="789"/>
      <c r="GR2" s="789"/>
      <c r="GS2" s="789"/>
      <c r="GT2" s="789"/>
      <c r="GU2" s="789"/>
      <c r="GV2" s="789"/>
      <c r="GW2" s="789"/>
      <c r="GX2" s="789"/>
      <c r="GY2" s="789"/>
      <c r="GZ2" s="789"/>
      <c r="HA2" s="789"/>
      <c r="HB2" s="789"/>
      <c r="HC2" s="789"/>
      <c r="HD2" s="789"/>
      <c r="HE2" s="789"/>
      <c r="HF2" s="789"/>
      <c r="HG2" s="789"/>
      <c r="HH2" s="789"/>
      <c r="HI2" s="789"/>
      <c r="HJ2" s="789"/>
      <c r="HK2" s="789"/>
      <c r="HL2" s="789"/>
      <c r="HM2" s="789"/>
      <c r="HN2" s="789"/>
      <c r="HO2" s="789"/>
      <c r="HP2" s="789"/>
      <c r="HQ2" s="789"/>
      <c r="HR2" s="789"/>
      <c r="HS2" s="789"/>
      <c r="HT2" s="789"/>
      <c r="HU2" s="789"/>
      <c r="HV2" s="789"/>
      <c r="HW2" s="789"/>
      <c r="HX2" s="789"/>
      <c r="HY2" s="789"/>
      <c r="HZ2" s="789"/>
      <c r="IA2" s="789"/>
      <c r="IB2" s="789"/>
      <c r="IC2" s="789"/>
      <c r="ID2" s="789"/>
      <c r="IE2" s="789"/>
      <c r="IF2" s="789"/>
      <c r="IG2" s="789"/>
      <c r="IH2" s="789"/>
      <c r="II2" s="789"/>
      <c r="IJ2" s="789"/>
    </row>
    <row r="3" spans="1:244" ht="20.25">
      <c r="A3" s="926" t="s">
        <v>1017</v>
      </c>
      <c r="B3" s="926"/>
      <c r="C3" s="926"/>
      <c r="D3" s="926"/>
      <c r="E3" s="926"/>
      <c r="F3" s="926"/>
      <c r="G3" s="926"/>
      <c r="H3" s="926"/>
      <c r="I3" s="926"/>
      <c r="J3" s="926"/>
      <c r="K3" s="926"/>
      <c r="L3" s="926"/>
      <c r="M3" s="926"/>
      <c r="N3" s="926"/>
      <c r="O3" s="926"/>
      <c r="P3" s="790"/>
      <c r="Q3" s="789"/>
      <c r="R3" s="789"/>
      <c r="S3" s="789"/>
      <c r="T3" s="789"/>
      <c r="U3" s="789"/>
      <c r="V3" s="789"/>
      <c r="W3" s="789"/>
      <c r="X3" s="789"/>
      <c r="Y3" s="789"/>
      <c r="Z3" s="789"/>
      <c r="AA3" s="789"/>
      <c r="AB3" s="791"/>
      <c r="AC3" s="789"/>
      <c r="AD3" s="789"/>
      <c r="AE3" s="789"/>
      <c r="AF3" s="791"/>
      <c r="AG3" s="789"/>
      <c r="AH3" s="792"/>
      <c r="AI3" s="789"/>
      <c r="AJ3" s="789"/>
      <c r="AK3" s="789"/>
      <c r="AL3" s="789"/>
      <c r="AM3" s="789"/>
      <c r="AN3" s="789"/>
      <c r="AO3" s="789"/>
      <c r="AP3" s="789"/>
      <c r="AQ3" s="789"/>
      <c r="AR3" s="789"/>
      <c r="AS3" s="789"/>
      <c r="AT3" s="789"/>
      <c r="AU3" s="789"/>
      <c r="AV3" s="789"/>
      <c r="AW3" s="789"/>
      <c r="AX3" s="789"/>
      <c r="AY3" s="789"/>
      <c r="AZ3" s="789"/>
      <c r="BA3" s="789"/>
      <c r="BB3" s="789"/>
      <c r="BC3" s="789"/>
      <c r="BD3" s="789"/>
      <c r="BE3" s="789"/>
      <c r="BF3" s="789"/>
      <c r="BG3" s="789"/>
      <c r="BH3" s="789"/>
      <c r="BI3" s="789"/>
      <c r="BJ3" s="789"/>
      <c r="BK3" s="789"/>
      <c r="BL3" s="789"/>
      <c r="BM3" s="789"/>
      <c r="BN3" s="789"/>
      <c r="BO3" s="789"/>
      <c r="BP3" s="789"/>
      <c r="BQ3" s="789"/>
      <c r="BR3" s="789"/>
      <c r="BS3" s="789"/>
      <c r="BT3" s="789"/>
      <c r="BU3" s="789"/>
      <c r="BV3" s="789"/>
      <c r="BW3" s="789"/>
      <c r="BX3" s="789"/>
      <c r="BY3" s="789"/>
      <c r="BZ3" s="789"/>
      <c r="CA3" s="789"/>
      <c r="CB3" s="789"/>
      <c r="CC3" s="789"/>
      <c r="CD3" s="789"/>
      <c r="CE3" s="789"/>
      <c r="CF3" s="789"/>
      <c r="CG3" s="789"/>
      <c r="CH3" s="789"/>
      <c r="CI3" s="789"/>
      <c r="CJ3" s="789"/>
      <c r="CK3" s="789"/>
      <c r="CL3" s="789"/>
      <c r="CM3" s="789"/>
      <c r="CN3" s="789"/>
      <c r="CO3" s="789"/>
      <c r="CP3" s="789"/>
      <c r="CQ3" s="789"/>
      <c r="CR3" s="789"/>
      <c r="CS3" s="789"/>
      <c r="CT3" s="789"/>
      <c r="CU3" s="789"/>
      <c r="CV3" s="789"/>
      <c r="CW3" s="789"/>
      <c r="CX3" s="789"/>
      <c r="CY3" s="789"/>
      <c r="CZ3" s="789"/>
      <c r="DA3" s="789"/>
      <c r="DB3" s="789"/>
      <c r="DC3" s="789"/>
      <c r="DD3" s="789"/>
      <c r="DE3" s="789"/>
      <c r="DF3" s="789"/>
      <c r="DG3" s="789"/>
      <c r="DH3" s="789"/>
      <c r="DI3" s="789"/>
      <c r="DJ3" s="789"/>
      <c r="DK3" s="789"/>
      <c r="DL3" s="789"/>
      <c r="DM3" s="789"/>
      <c r="DN3" s="789"/>
      <c r="DO3" s="789"/>
      <c r="DP3" s="789"/>
      <c r="DQ3" s="789"/>
      <c r="DR3" s="789"/>
      <c r="DS3" s="789"/>
      <c r="DT3" s="789"/>
      <c r="DU3" s="789"/>
      <c r="DV3" s="789"/>
      <c r="DW3" s="789"/>
      <c r="DX3" s="789"/>
      <c r="DY3" s="789"/>
      <c r="DZ3" s="789"/>
      <c r="EA3" s="789"/>
      <c r="EB3" s="789"/>
      <c r="EC3" s="789"/>
      <c r="ED3" s="789"/>
      <c r="EE3" s="789"/>
      <c r="EF3" s="789"/>
      <c r="EG3" s="789"/>
      <c r="EH3" s="789"/>
      <c r="EI3" s="789"/>
      <c r="EJ3" s="789"/>
      <c r="EK3" s="789"/>
      <c r="EL3" s="789"/>
      <c r="EM3" s="789"/>
      <c r="EN3" s="789"/>
      <c r="EO3" s="789"/>
      <c r="EP3" s="789"/>
      <c r="EQ3" s="789"/>
      <c r="ER3" s="789"/>
      <c r="ES3" s="789"/>
      <c r="ET3" s="789"/>
      <c r="EU3" s="789"/>
      <c r="EV3" s="789"/>
      <c r="EW3" s="789"/>
      <c r="EX3" s="789"/>
      <c r="EY3" s="789"/>
      <c r="EZ3" s="789"/>
      <c r="FA3" s="789"/>
      <c r="FB3" s="789"/>
      <c r="FC3" s="789"/>
      <c r="FD3" s="789"/>
      <c r="FE3" s="789"/>
      <c r="FF3" s="789"/>
      <c r="FG3" s="789"/>
      <c r="FH3" s="789"/>
      <c r="FI3" s="789"/>
      <c r="FJ3" s="789"/>
      <c r="FK3" s="789"/>
      <c r="FL3" s="789"/>
      <c r="FM3" s="789"/>
      <c r="FN3" s="789"/>
      <c r="FO3" s="789"/>
      <c r="FP3" s="789"/>
      <c r="FQ3" s="789"/>
      <c r="FR3" s="789"/>
      <c r="FS3" s="789"/>
      <c r="FT3" s="789"/>
      <c r="FU3" s="789"/>
      <c r="FV3" s="789"/>
      <c r="FW3" s="789"/>
      <c r="FX3" s="789"/>
      <c r="FY3" s="789"/>
      <c r="FZ3" s="789"/>
      <c r="GA3" s="789"/>
      <c r="GB3" s="789"/>
      <c r="GC3" s="789"/>
      <c r="GD3" s="789"/>
      <c r="GE3" s="789"/>
      <c r="GF3" s="789"/>
      <c r="GG3" s="789"/>
      <c r="GH3" s="789"/>
      <c r="GI3" s="789"/>
      <c r="GJ3" s="789"/>
      <c r="GK3" s="789"/>
      <c r="GL3" s="789"/>
      <c r="GM3" s="789"/>
      <c r="GN3" s="789"/>
      <c r="GO3" s="789"/>
      <c r="GP3" s="789"/>
      <c r="GQ3" s="789"/>
      <c r="GR3" s="789"/>
      <c r="GS3" s="789"/>
      <c r="GT3" s="789"/>
      <c r="GU3" s="789"/>
      <c r="GV3" s="789"/>
      <c r="GW3" s="789"/>
      <c r="GX3" s="789"/>
      <c r="GY3" s="789"/>
      <c r="GZ3" s="789"/>
      <c r="HA3" s="789"/>
      <c r="HB3" s="789"/>
      <c r="HC3" s="789"/>
      <c r="HD3" s="789"/>
      <c r="HE3" s="789"/>
      <c r="HF3" s="789"/>
      <c r="HG3" s="789"/>
      <c r="HH3" s="789"/>
      <c r="HI3" s="789"/>
      <c r="HJ3" s="789"/>
      <c r="HK3" s="789"/>
      <c r="HL3" s="789"/>
      <c r="HM3" s="789"/>
      <c r="HN3" s="789"/>
      <c r="HO3" s="789"/>
      <c r="HP3" s="789"/>
      <c r="HQ3" s="789"/>
      <c r="HR3" s="789"/>
      <c r="HS3" s="789"/>
      <c r="HT3" s="789"/>
      <c r="HU3" s="789"/>
      <c r="HV3" s="789"/>
      <c r="HW3" s="789"/>
      <c r="HX3" s="789"/>
      <c r="HY3" s="789"/>
      <c r="HZ3" s="789"/>
      <c r="IA3" s="789"/>
      <c r="IB3" s="789"/>
      <c r="IC3" s="789"/>
      <c r="ID3" s="789"/>
      <c r="IE3" s="789"/>
      <c r="IF3" s="789"/>
      <c r="IG3" s="789"/>
      <c r="IH3" s="789"/>
      <c r="II3" s="789"/>
      <c r="IJ3" s="789"/>
    </row>
    <row r="4" spans="1:244" ht="20.25">
      <c r="A4" s="927" t="s">
        <v>1020</v>
      </c>
      <c r="B4" s="928"/>
      <c r="C4" s="928"/>
      <c r="D4" s="928"/>
      <c r="E4" s="928"/>
      <c r="F4" s="928"/>
      <c r="G4" s="928"/>
      <c r="H4" s="928"/>
      <c r="I4" s="928"/>
      <c r="J4" s="928"/>
      <c r="K4" s="928"/>
      <c r="L4" s="928"/>
      <c r="M4" s="928"/>
      <c r="N4" s="928"/>
      <c r="O4" s="928"/>
      <c r="P4" s="790"/>
      <c r="Q4" s="789"/>
      <c r="R4" s="789"/>
      <c r="S4" s="789"/>
      <c r="T4" s="789"/>
      <c r="U4" s="789"/>
      <c r="V4" s="789"/>
      <c r="W4" s="789"/>
      <c r="X4" s="789"/>
      <c r="Y4" s="789"/>
      <c r="Z4" s="789"/>
      <c r="AA4" s="789"/>
      <c r="AB4" s="791"/>
      <c r="AC4" s="789"/>
      <c r="AD4" s="789"/>
      <c r="AE4" s="789"/>
      <c r="AF4" s="791"/>
      <c r="AG4" s="789"/>
      <c r="AH4" s="792"/>
      <c r="AI4" s="789"/>
      <c r="AJ4" s="789"/>
      <c r="AK4" s="789"/>
      <c r="AL4" s="789"/>
      <c r="AM4" s="789"/>
      <c r="AN4" s="789"/>
      <c r="AO4" s="789"/>
      <c r="AP4" s="789"/>
      <c r="AQ4" s="789"/>
      <c r="AR4" s="789"/>
      <c r="AS4" s="789"/>
      <c r="AT4" s="789"/>
      <c r="AU4" s="789"/>
      <c r="AV4" s="789"/>
      <c r="AW4" s="789"/>
      <c r="AX4" s="789"/>
      <c r="AY4" s="789"/>
      <c r="AZ4" s="789"/>
      <c r="BA4" s="789"/>
      <c r="BB4" s="789"/>
      <c r="BC4" s="789"/>
      <c r="BD4" s="789"/>
      <c r="BE4" s="789"/>
      <c r="BF4" s="789"/>
      <c r="BG4" s="789"/>
      <c r="BH4" s="789"/>
      <c r="BI4" s="789"/>
      <c r="BJ4" s="789"/>
      <c r="BK4" s="789"/>
      <c r="BL4" s="789"/>
      <c r="BM4" s="789"/>
      <c r="BN4" s="789"/>
      <c r="BO4" s="789"/>
      <c r="BP4" s="789"/>
      <c r="BQ4" s="789"/>
      <c r="BR4" s="789"/>
      <c r="BS4" s="789"/>
      <c r="BT4" s="789"/>
      <c r="BU4" s="789"/>
      <c r="BV4" s="789"/>
      <c r="BW4" s="789"/>
      <c r="BX4" s="789"/>
      <c r="BY4" s="789"/>
      <c r="BZ4" s="789"/>
      <c r="CA4" s="789"/>
      <c r="CB4" s="789"/>
      <c r="CC4" s="789"/>
      <c r="CD4" s="789"/>
      <c r="CE4" s="789"/>
      <c r="CF4" s="789"/>
      <c r="CG4" s="789"/>
      <c r="CH4" s="789"/>
      <c r="CI4" s="789"/>
      <c r="CJ4" s="789"/>
      <c r="CK4" s="789"/>
      <c r="CL4" s="789"/>
      <c r="CM4" s="789"/>
      <c r="CN4" s="789"/>
      <c r="CO4" s="789"/>
      <c r="CP4" s="789"/>
      <c r="CQ4" s="789"/>
      <c r="CR4" s="789"/>
      <c r="CS4" s="789"/>
      <c r="CT4" s="789"/>
      <c r="CU4" s="789"/>
      <c r="CV4" s="789"/>
      <c r="CW4" s="789"/>
      <c r="CX4" s="789"/>
      <c r="CY4" s="789"/>
      <c r="CZ4" s="789"/>
      <c r="DA4" s="789"/>
      <c r="DB4" s="789"/>
      <c r="DC4" s="789"/>
      <c r="DD4" s="789"/>
      <c r="DE4" s="789"/>
      <c r="DF4" s="789"/>
      <c r="DG4" s="789"/>
      <c r="DH4" s="789"/>
      <c r="DI4" s="789"/>
      <c r="DJ4" s="789"/>
      <c r="DK4" s="789"/>
      <c r="DL4" s="789"/>
      <c r="DM4" s="789"/>
      <c r="DN4" s="789"/>
      <c r="DO4" s="789"/>
      <c r="DP4" s="789"/>
      <c r="DQ4" s="789"/>
      <c r="DR4" s="789"/>
      <c r="DS4" s="789"/>
      <c r="DT4" s="789"/>
      <c r="DU4" s="789"/>
      <c r="DV4" s="789"/>
      <c r="DW4" s="789"/>
      <c r="DX4" s="789"/>
      <c r="DY4" s="789"/>
      <c r="DZ4" s="789"/>
      <c r="EA4" s="789"/>
      <c r="EB4" s="789"/>
      <c r="EC4" s="789"/>
      <c r="ED4" s="789"/>
      <c r="EE4" s="789"/>
      <c r="EF4" s="789"/>
      <c r="EG4" s="789"/>
      <c r="EH4" s="789"/>
      <c r="EI4" s="789"/>
      <c r="EJ4" s="789"/>
      <c r="EK4" s="789"/>
      <c r="EL4" s="789"/>
      <c r="EM4" s="789"/>
      <c r="EN4" s="789"/>
      <c r="EO4" s="789"/>
      <c r="EP4" s="789"/>
      <c r="EQ4" s="789"/>
      <c r="ER4" s="789"/>
      <c r="ES4" s="789"/>
      <c r="ET4" s="789"/>
      <c r="EU4" s="789"/>
      <c r="EV4" s="789"/>
      <c r="EW4" s="789"/>
      <c r="EX4" s="789"/>
      <c r="EY4" s="789"/>
      <c r="EZ4" s="789"/>
      <c r="FA4" s="789"/>
      <c r="FB4" s="789"/>
      <c r="FC4" s="789"/>
      <c r="FD4" s="789"/>
      <c r="FE4" s="789"/>
      <c r="FF4" s="789"/>
      <c r="FG4" s="789"/>
      <c r="FH4" s="789"/>
      <c r="FI4" s="789"/>
      <c r="FJ4" s="789"/>
      <c r="FK4" s="789"/>
      <c r="FL4" s="789"/>
      <c r="FM4" s="789"/>
      <c r="FN4" s="789"/>
      <c r="FO4" s="789"/>
      <c r="FP4" s="789"/>
      <c r="FQ4" s="789"/>
      <c r="FR4" s="789"/>
      <c r="FS4" s="789"/>
      <c r="FT4" s="789"/>
      <c r="FU4" s="789"/>
      <c r="FV4" s="789"/>
      <c r="FW4" s="789"/>
      <c r="FX4" s="789"/>
      <c r="FY4" s="789"/>
      <c r="FZ4" s="789"/>
      <c r="GA4" s="789"/>
      <c r="GB4" s="789"/>
      <c r="GC4" s="789"/>
      <c r="GD4" s="789"/>
      <c r="GE4" s="789"/>
      <c r="GF4" s="789"/>
      <c r="GG4" s="789"/>
      <c r="GH4" s="789"/>
      <c r="GI4" s="789"/>
      <c r="GJ4" s="789"/>
      <c r="GK4" s="789"/>
      <c r="GL4" s="789"/>
      <c r="GM4" s="789"/>
      <c r="GN4" s="789"/>
      <c r="GO4" s="789"/>
      <c r="GP4" s="789"/>
      <c r="GQ4" s="789"/>
      <c r="GR4" s="789"/>
      <c r="GS4" s="789"/>
      <c r="GT4" s="789"/>
      <c r="GU4" s="789"/>
      <c r="GV4" s="789"/>
      <c r="GW4" s="789"/>
      <c r="GX4" s="789"/>
      <c r="GY4" s="789"/>
      <c r="GZ4" s="789"/>
      <c r="HA4" s="789"/>
      <c r="HB4" s="789"/>
      <c r="HC4" s="789"/>
      <c r="HD4" s="789"/>
      <c r="HE4" s="789"/>
      <c r="HF4" s="789"/>
      <c r="HG4" s="789"/>
      <c r="HH4" s="789"/>
      <c r="HI4" s="789"/>
      <c r="HJ4" s="789"/>
      <c r="HK4" s="789"/>
      <c r="HL4" s="789"/>
      <c r="HM4" s="789"/>
      <c r="HN4" s="789"/>
      <c r="HO4" s="789"/>
      <c r="HP4" s="789"/>
      <c r="HQ4" s="789"/>
      <c r="HR4" s="789"/>
      <c r="HS4" s="789"/>
      <c r="HT4" s="789"/>
      <c r="HU4" s="789"/>
      <c r="HV4" s="789"/>
      <c r="HW4" s="789"/>
      <c r="HX4" s="789"/>
      <c r="HY4" s="789"/>
      <c r="HZ4" s="789"/>
      <c r="IA4" s="789"/>
      <c r="IB4" s="789"/>
      <c r="IC4" s="789"/>
      <c r="ID4" s="789"/>
      <c r="IE4" s="789"/>
      <c r="IF4" s="789"/>
      <c r="IG4" s="789"/>
      <c r="IH4" s="789"/>
      <c r="II4" s="789"/>
      <c r="IJ4" s="789"/>
    </row>
    <row r="5" spans="1:244" ht="8.4499999999999993" customHeight="1">
      <c r="A5" s="793"/>
      <c r="B5" s="793"/>
      <c r="C5" s="793"/>
      <c r="D5" s="793"/>
      <c r="E5" s="793"/>
      <c r="F5" s="793"/>
      <c r="G5" s="793"/>
      <c r="H5" s="793"/>
      <c r="I5" s="793"/>
      <c r="J5" s="793"/>
      <c r="K5" s="793"/>
      <c r="L5" s="793"/>
      <c r="M5" s="793"/>
      <c r="N5" s="793"/>
      <c r="O5" s="793"/>
      <c r="P5" s="794"/>
      <c r="Q5" s="789"/>
      <c r="R5" s="789"/>
      <c r="S5" s="789"/>
      <c r="T5" s="789"/>
      <c r="U5" s="789"/>
      <c r="V5" s="789"/>
      <c r="W5" s="789"/>
      <c r="X5" s="789"/>
      <c r="Y5" s="789"/>
      <c r="Z5" s="789"/>
      <c r="AA5" s="789"/>
      <c r="AB5" s="791"/>
      <c r="AC5" s="789"/>
      <c r="AD5" s="789"/>
      <c r="AE5" s="789"/>
      <c r="AF5" s="791"/>
      <c r="AG5" s="789"/>
      <c r="AH5" s="792"/>
      <c r="AI5" s="789"/>
      <c r="AJ5" s="789"/>
      <c r="AK5" s="789"/>
      <c r="AL5" s="789"/>
      <c r="AM5" s="789"/>
      <c r="AN5" s="789"/>
      <c r="AO5" s="789"/>
      <c r="AP5" s="789"/>
      <c r="AQ5" s="789"/>
      <c r="AR5" s="789"/>
      <c r="AS5" s="789"/>
      <c r="AT5" s="789"/>
      <c r="AU5" s="789"/>
      <c r="AV5" s="789"/>
      <c r="AW5" s="789"/>
      <c r="AX5" s="789"/>
      <c r="AY5" s="789"/>
      <c r="AZ5" s="789"/>
      <c r="BA5" s="789"/>
      <c r="BB5" s="789"/>
      <c r="BC5" s="789"/>
      <c r="BD5" s="789"/>
      <c r="BE5" s="789"/>
      <c r="BF5" s="789"/>
      <c r="BG5" s="789"/>
      <c r="BH5" s="789"/>
      <c r="BI5" s="789"/>
      <c r="BJ5" s="789"/>
      <c r="BK5" s="789"/>
      <c r="BL5" s="789"/>
      <c r="BM5" s="789"/>
      <c r="BN5" s="789"/>
      <c r="BO5" s="789"/>
      <c r="BP5" s="789"/>
      <c r="BQ5" s="789"/>
      <c r="BR5" s="789"/>
      <c r="BS5" s="789"/>
      <c r="BT5" s="789"/>
      <c r="BU5" s="789"/>
      <c r="BV5" s="789"/>
      <c r="BW5" s="789"/>
      <c r="BX5" s="789"/>
      <c r="BY5" s="789"/>
      <c r="BZ5" s="789"/>
      <c r="CA5" s="789"/>
      <c r="CB5" s="789"/>
      <c r="CC5" s="789"/>
      <c r="CD5" s="789"/>
      <c r="CE5" s="789"/>
      <c r="CF5" s="789"/>
      <c r="CG5" s="789"/>
      <c r="CH5" s="789"/>
      <c r="CI5" s="789"/>
      <c r="CJ5" s="789"/>
      <c r="CK5" s="789"/>
      <c r="CL5" s="789"/>
      <c r="CM5" s="789"/>
      <c r="CN5" s="789"/>
      <c r="CO5" s="789"/>
      <c r="CP5" s="789"/>
      <c r="CQ5" s="789"/>
      <c r="CR5" s="789"/>
      <c r="CS5" s="789"/>
      <c r="CT5" s="789"/>
      <c r="CU5" s="789"/>
      <c r="CV5" s="789"/>
      <c r="CW5" s="789"/>
      <c r="CX5" s="789"/>
      <c r="CY5" s="789"/>
      <c r="CZ5" s="789"/>
      <c r="DA5" s="789"/>
      <c r="DB5" s="789"/>
      <c r="DC5" s="789"/>
      <c r="DD5" s="789"/>
      <c r="DE5" s="789"/>
      <c r="DF5" s="789"/>
      <c r="DG5" s="789"/>
      <c r="DH5" s="789"/>
      <c r="DI5" s="789"/>
      <c r="DJ5" s="789"/>
      <c r="DK5" s="789"/>
      <c r="DL5" s="789"/>
      <c r="DM5" s="789"/>
      <c r="DN5" s="789"/>
      <c r="DO5" s="789"/>
      <c r="DP5" s="789"/>
      <c r="DQ5" s="789"/>
      <c r="DR5" s="789"/>
      <c r="DS5" s="789"/>
      <c r="DT5" s="789"/>
      <c r="DU5" s="789"/>
      <c r="DV5" s="789"/>
      <c r="DW5" s="789"/>
      <c r="DX5" s="789"/>
      <c r="DY5" s="789"/>
      <c r="DZ5" s="789"/>
      <c r="EA5" s="789"/>
      <c r="EB5" s="789"/>
      <c r="EC5" s="789"/>
      <c r="ED5" s="789"/>
      <c r="EE5" s="789"/>
      <c r="EF5" s="789"/>
      <c r="EG5" s="789"/>
      <c r="EH5" s="789"/>
      <c r="EI5" s="789"/>
      <c r="EJ5" s="789"/>
      <c r="EK5" s="789"/>
      <c r="EL5" s="789"/>
      <c r="EM5" s="789"/>
      <c r="EN5" s="789"/>
      <c r="EO5" s="789"/>
      <c r="EP5" s="789"/>
      <c r="EQ5" s="789"/>
      <c r="ER5" s="789"/>
      <c r="ES5" s="789"/>
      <c r="ET5" s="789"/>
      <c r="EU5" s="789"/>
      <c r="EV5" s="789"/>
      <c r="EW5" s="789"/>
      <c r="EX5" s="789"/>
      <c r="EY5" s="789"/>
      <c r="EZ5" s="789"/>
      <c r="FA5" s="789"/>
      <c r="FB5" s="789"/>
      <c r="FC5" s="789"/>
      <c r="FD5" s="789"/>
      <c r="FE5" s="789"/>
      <c r="FF5" s="789"/>
      <c r="FG5" s="789"/>
      <c r="FH5" s="789"/>
      <c r="FI5" s="789"/>
      <c r="FJ5" s="789"/>
      <c r="FK5" s="789"/>
      <c r="FL5" s="789"/>
      <c r="FM5" s="789"/>
      <c r="FN5" s="789"/>
      <c r="FO5" s="789"/>
      <c r="FP5" s="789"/>
      <c r="FQ5" s="789"/>
      <c r="FR5" s="789"/>
      <c r="FS5" s="789"/>
      <c r="FT5" s="789"/>
      <c r="FU5" s="789"/>
      <c r="FV5" s="789"/>
      <c r="FW5" s="789"/>
      <c r="FX5" s="789"/>
      <c r="FY5" s="789"/>
      <c r="FZ5" s="789"/>
      <c r="GA5" s="789"/>
      <c r="GB5" s="789"/>
      <c r="GC5" s="789"/>
      <c r="GD5" s="789"/>
      <c r="GE5" s="789"/>
      <c r="GF5" s="789"/>
      <c r="GG5" s="789"/>
      <c r="GH5" s="789"/>
      <c r="GI5" s="789"/>
      <c r="GJ5" s="789"/>
      <c r="GK5" s="789"/>
      <c r="GL5" s="789"/>
      <c r="GM5" s="789"/>
      <c r="GN5" s="789"/>
      <c r="GO5" s="789"/>
      <c r="GP5" s="789"/>
      <c r="GQ5" s="789"/>
      <c r="GR5" s="789"/>
      <c r="GS5" s="789"/>
      <c r="GT5" s="789"/>
      <c r="GU5" s="789"/>
      <c r="GV5" s="789"/>
      <c r="GW5" s="789"/>
      <c r="GX5" s="789"/>
      <c r="GY5" s="789"/>
      <c r="GZ5" s="789"/>
      <c r="HA5" s="789"/>
      <c r="HB5" s="789"/>
      <c r="HC5" s="789"/>
      <c r="HD5" s="789"/>
      <c r="HE5" s="789"/>
      <c r="HF5" s="789"/>
      <c r="HG5" s="789"/>
      <c r="HH5" s="789"/>
      <c r="HI5" s="789"/>
      <c r="HJ5" s="789"/>
      <c r="HK5" s="789"/>
      <c r="HL5" s="789"/>
      <c r="HM5" s="789"/>
      <c r="HN5" s="789"/>
      <c r="HO5" s="789"/>
      <c r="HP5" s="789"/>
      <c r="HQ5" s="789"/>
      <c r="HR5" s="789"/>
      <c r="HS5" s="789"/>
      <c r="HT5" s="789"/>
      <c r="HU5" s="789"/>
      <c r="HV5" s="789"/>
      <c r="HW5" s="789"/>
      <c r="HX5" s="789"/>
      <c r="HY5" s="789"/>
      <c r="HZ5" s="789"/>
      <c r="IA5" s="789"/>
      <c r="IB5" s="789"/>
      <c r="IC5" s="789"/>
      <c r="ID5" s="789"/>
      <c r="IE5" s="789"/>
      <c r="IF5" s="789"/>
      <c r="IG5" s="789"/>
      <c r="IH5" s="789"/>
      <c r="II5" s="789"/>
      <c r="IJ5" s="789"/>
    </row>
    <row r="6" spans="1:244" ht="21" customHeight="1">
      <c r="C6" s="858" t="s">
        <v>150</v>
      </c>
      <c r="D6" s="858"/>
      <c r="E6" s="858"/>
      <c r="F6" s="858"/>
      <c r="G6" s="858"/>
      <c r="H6" s="858"/>
      <c r="I6" s="858"/>
      <c r="J6" s="858"/>
      <c r="K6" s="858"/>
      <c r="L6" s="858"/>
      <c r="M6" s="858"/>
      <c r="N6" s="858"/>
      <c r="O6" s="858"/>
      <c r="P6" s="858"/>
      <c r="AB6" s="9">
        <v>392000</v>
      </c>
      <c r="AE6" s="9" t="s">
        <v>151</v>
      </c>
      <c r="AF6" s="262">
        <v>10000000</v>
      </c>
      <c r="FH6" s="11"/>
    </row>
    <row r="7" spans="1:244" ht="24" customHeight="1">
      <c r="A7" s="923"/>
      <c r="B7" s="923" t="s">
        <v>5</v>
      </c>
      <c r="C7" s="919" t="s">
        <v>152</v>
      </c>
      <c r="D7" s="866" t="s">
        <v>153</v>
      </c>
      <c r="E7" s="866" t="s">
        <v>154</v>
      </c>
      <c r="F7" s="866" t="s">
        <v>155</v>
      </c>
      <c r="G7" s="866" t="s">
        <v>156</v>
      </c>
      <c r="H7" s="924" t="s">
        <v>157</v>
      </c>
      <c r="I7" s="925"/>
      <c r="J7" s="919" t="s">
        <v>158</v>
      </c>
      <c r="K7" s="919" t="s">
        <v>579</v>
      </c>
      <c r="L7" s="866" t="s">
        <v>1018</v>
      </c>
      <c r="M7" s="866" t="s">
        <v>537</v>
      </c>
      <c r="N7" s="866" t="s">
        <v>580</v>
      </c>
      <c r="O7" s="919" t="s">
        <v>9</v>
      </c>
      <c r="P7" s="919" t="s">
        <v>9</v>
      </c>
      <c r="R7" s="795" t="s">
        <v>159</v>
      </c>
      <c r="S7" s="796">
        <f>'[1]PB1-DU KIEN NGUON 16-8'!T11</f>
        <v>21144592.720049992</v>
      </c>
      <c r="T7" s="24">
        <f>S7*0.2</f>
        <v>4228918.5440099984</v>
      </c>
      <c r="Z7" s="9">
        <v>1</v>
      </c>
      <c r="AB7" s="14">
        <v>250000</v>
      </c>
      <c r="AE7" s="9" t="s">
        <v>160</v>
      </c>
      <c r="AF7" s="262">
        <v>2402000</v>
      </c>
      <c r="FH7" s="797">
        <f>7320+236700</f>
        <v>244020</v>
      </c>
    </row>
    <row r="8" spans="1:244" ht="18.75">
      <c r="A8" s="923"/>
      <c r="B8" s="923"/>
      <c r="C8" s="919"/>
      <c r="D8" s="867"/>
      <c r="E8" s="867"/>
      <c r="F8" s="867"/>
      <c r="G8" s="867"/>
      <c r="H8" s="919" t="s">
        <v>161</v>
      </c>
      <c r="I8" s="920" t="s">
        <v>162</v>
      </c>
      <c r="J8" s="919"/>
      <c r="K8" s="919"/>
      <c r="L8" s="867"/>
      <c r="M8" s="867"/>
      <c r="N8" s="867"/>
      <c r="O8" s="919"/>
      <c r="P8" s="919"/>
      <c r="R8" s="795" t="s">
        <v>164</v>
      </c>
      <c r="S8" s="799">
        <f>M11</f>
        <v>0</v>
      </c>
      <c r="T8" s="800">
        <f>S8/S7</f>
        <v>0</v>
      </c>
      <c r="W8" s="918" t="s">
        <v>165</v>
      </c>
      <c r="X8" s="918"/>
      <c r="Y8" s="918"/>
      <c r="AB8" s="14">
        <f>+AB6-AB7</f>
        <v>142000</v>
      </c>
      <c r="AF8" s="262"/>
      <c r="FG8" s="15">
        <v>4186762</v>
      </c>
      <c r="FH8" s="801" t="e">
        <f>#REF!-FG8</f>
        <v>#REF!</v>
      </c>
      <c r="FI8" s="801"/>
    </row>
    <row r="9" spans="1:244" ht="28.15" customHeight="1">
      <c r="A9" s="923"/>
      <c r="B9" s="923"/>
      <c r="C9" s="919"/>
      <c r="D9" s="868"/>
      <c r="E9" s="868"/>
      <c r="F9" s="868"/>
      <c r="G9" s="868"/>
      <c r="H9" s="919"/>
      <c r="I9" s="920"/>
      <c r="J9" s="919"/>
      <c r="K9" s="919"/>
      <c r="L9" s="868"/>
      <c r="M9" s="868"/>
      <c r="N9" s="868"/>
      <c r="O9" s="919"/>
      <c r="P9" s="919"/>
      <c r="Q9" s="802"/>
      <c r="R9" s="803">
        <f>'[1]PL6 chuyen tiep 16-20 (IN)'!EA14+'[1]PL7- Khoi cong moi 21-25(IN)'!CI16</f>
        <v>1917005.9999999977</v>
      </c>
      <c r="S9" s="804">
        <f>'[1]PL TongHOp 21-25 (IN)'!AH46</f>
        <v>326471.53199998662</v>
      </c>
      <c r="T9" s="805">
        <f>1045000+S9</f>
        <v>1371471.5319999866</v>
      </c>
      <c r="U9" s="802"/>
      <c r="V9" s="802"/>
      <c r="W9" s="806" t="s">
        <v>167</v>
      </c>
      <c r="X9" s="806" t="s">
        <v>168</v>
      </c>
      <c r="Y9" s="806" t="s">
        <v>169</v>
      </c>
      <c r="AB9" s="9">
        <v>8372900</v>
      </c>
      <c r="AC9" s="807" t="s">
        <v>170</v>
      </c>
      <c r="AJ9" s="14"/>
      <c r="DQ9" s="9">
        <f>5.3*12750.8</f>
        <v>67579.239999999991</v>
      </c>
      <c r="FG9" s="22">
        <v>4527782</v>
      </c>
      <c r="FH9" s="205" t="e">
        <f>FG9-#REF!</f>
        <v>#REF!</v>
      </c>
      <c r="FI9" s="24"/>
      <c r="FJ9" s="25"/>
    </row>
    <row r="10" spans="1:244" ht="18.75">
      <c r="A10" s="247">
        <v>1</v>
      </c>
      <c r="B10" s="247">
        <v>2</v>
      </c>
      <c r="C10" s="247">
        <v>3</v>
      </c>
      <c r="D10" s="247">
        <v>4</v>
      </c>
      <c r="E10" s="247"/>
      <c r="F10" s="247">
        <v>5</v>
      </c>
      <c r="G10" s="247">
        <v>6</v>
      </c>
      <c r="H10" s="247">
        <v>7</v>
      </c>
      <c r="I10" s="247">
        <v>8</v>
      </c>
      <c r="J10" s="247">
        <v>9</v>
      </c>
      <c r="K10" s="247">
        <v>10</v>
      </c>
      <c r="L10" s="247">
        <v>11</v>
      </c>
      <c r="M10" s="247">
        <v>12</v>
      </c>
      <c r="N10" s="247">
        <v>13</v>
      </c>
      <c r="O10" s="247">
        <v>14</v>
      </c>
      <c r="P10" s="798"/>
      <c r="Q10" s="802"/>
      <c r="R10" s="199">
        <v>1044029</v>
      </c>
      <c r="S10" s="199">
        <f>S7-S9</f>
        <v>20818121.188050006</v>
      </c>
      <c r="T10" s="199">
        <f>S7-T9</f>
        <v>19773121.188050006</v>
      </c>
      <c r="U10" s="808">
        <f>T10*0.2</f>
        <v>3954624.2376100011</v>
      </c>
      <c r="V10" s="802"/>
      <c r="W10" s="190"/>
      <c r="X10" s="190"/>
      <c r="Y10" s="190"/>
      <c r="AC10" s="807"/>
      <c r="FG10" s="22"/>
      <c r="FH10" s="205"/>
      <c r="FI10" s="24"/>
      <c r="FJ10" s="25"/>
    </row>
    <row r="11" spans="1:244" ht="17.25" customHeight="1">
      <c r="A11" s="809"/>
      <c r="B11" s="787" t="s">
        <v>171</v>
      </c>
      <c r="C11" s="248"/>
      <c r="D11" s="248"/>
      <c r="E11" s="248"/>
      <c r="F11" s="248"/>
      <c r="G11" s="248"/>
      <c r="H11" s="786"/>
      <c r="I11" s="786"/>
      <c r="J11" s="786"/>
      <c r="K11" s="786"/>
      <c r="L11" s="786"/>
      <c r="M11" s="786"/>
      <c r="N11" s="786"/>
      <c r="O11" s="249"/>
      <c r="P11" s="250"/>
      <c r="Q11" s="252">
        <f>M11-N11</f>
        <v>0</v>
      </c>
      <c r="R11" s="252">
        <f>R9+R10</f>
        <v>2961034.9999999977</v>
      </c>
      <c r="S11" s="252">
        <f>S8+S9</f>
        <v>326471.53199998662</v>
      </c>
      <c r="T11" s="252">
        <f>S8+T9</f>
        <v>1371471.5319999866</v>
      </c>
      <c r="U11" s="252">
        <f>T11-U10</f>
        <v>-2583152.7056100145</v>
      </c>
      <c r="V11" s="252"/>
      <c r="W11" s="810"/>
      <c r="X11" s="810"/>
      <c r="Y11" s="810"/>
      <c r="Z11" s="810"/>
      <c r="AA11" s="810"/>
      <c r="AB11" s="811"/>
      <c r="AC11" s="812"/>
      <c r="AD11" s="811"/>
      <c r="AE11" s="811"/>
      <c r="AF11" s="811"/>
      <c r="AG11" s="811"/>
      <c r="AH11" s="811"/>
      <c r="AI11" s="812"/>
      <c r="AJ11" s="813"/>
      <c r="AK11" s="812"/>
      <c r="AL11" s="811"/>
      <c r="AM11" s="811"/>
      <c r="AN11" s="811"/>
      <c r="AO11" s="811"/>
      <c r="AP11" s="811"/>
      <c r="AQ11" s="811"/>
      <c r="AR11" s="811"/>
      <c r="AS11" s="811"/>
      <c r="AT11" s="811"/>
      <c r="AU11" s="811"/>
      <c r="AV11" s="811"/>
      <c r="AW11" s="811"/>
      <c r="AX11" s="811"/>
      <c r="AY11" s="811"/>
      <c r="AZ11" s="811"/>
      <c r="BA11" s="811"/>
      <c r="BB11" s="811"/>
      <c r="BC11" s="811"/>
      <c r="BD11" s="811"/>
      <c r="BE11" s="811"/>
      <c r="BF11" s="811"/>
      <c r="BG11" s="811"/>
      <c r="BH11" s="811"/>
      <c r="BI11" s="811"/>
      <c r="BJ11" s="811"/>
      <c r="BK11" s="811"/>
      <c r="BL11" s="811"/>
      <c r="BM11" s="811"/>
      <c r="BN11" s="811"/>
      <c r="BO11" s="811"/>
      <c r="BP11" s="811"/>
      <c r="BQ11" s="811"/>
      <c r="BR11" s="811"/>
      <c r="BS11" s="811"/>
      <c r="BT11" s="811"/>
      <c r="BU11" s="811"/>
      <c r="BV11" s="811"/>
      <c r="BW11" s="811"/>
      <c r="BX11" s="811"/>
      <c r="BY11" s="811"/>
      <c r="BZ11" s="811"/>
      <c r="CA11" s="811"/>
      <c r="CB11" s="811"/>
      <c r="CC11" s="811"/>
      <c r="CD11" s="811"/>
      <c r="CE11" s="811"/>
      <c r="CF11" s="811"/>
      <c r="CG11" s="811"/>
      <c r="CH11" s="811"/>
      <c r="CI11" s="811"/>
      <c r="CJ11" s="811"/>
      <c r="CK11" s="811"/>
      <c r="CL11" s="811"/>
      <c r="CM11" s="811"/>
      <c r="CN11" s="811"/>
      <c r="CO11" s="811"/>
      <c r="CP11" s="811"/>
      <c r="CQ11" s="811"/>
      <c r="CR11" s="811"/>
      <c r="CS11" s="811"/>
      <c r="CT11" s="811"/>
      <c r="CU11" s="811"/>
      <c r="CV11" s="811"/>
      <c r="CW11" s="811"/>
      <c r="CX11" s="811"/>
      <c r="CY11" s="811"/>
      <c r="CZ11" s="811"/>
      <c r="DA11" s="811"/>
      <c r="DB11" s="811"/>
      <c r="DC11" s="811"/>
      <c r="DD11" s="811"/>
      <c r="DE11" s="811"/>
      <c r="DF11" s="811"/>
      <c r="DG11" s="811"/>
      <c r="DH11" s="811"/>
      <c r="DI11" s="811"/>
      <c r="DJ11" s="811"/>
      <c r="DK11" s="811"/>
      <c r="DL11" s="811"/>
      <c r="DM11" s="811"/>
      <c r="DN11" s="811"/>
      <c r="DO11" s="811"/>
      <c r="DP11" s="811"/>
      <c r="DQ11" s="811"/>
      <c r="DR11" s="811"/>
      <c r="DS11" s="811"/>
      <c r="DT11" s="811"/>
      <c r="DU11" s="811"/>
      <c r="DV11" s="811"/>
      <c r="DW11" s="811"/>
      <c r="DX11" s="811"/>
      <c r="DY11" s="811"/>
      <c r="DZ11" s="811"/>
      <c r="EA11" s="811"/>
      <c r="EB11" s="811"/>
      <c r="EC11" s="811"/>
      <c r="ED11" s="811"/>
      <c r="EE11" s="811"/>
      <c r="EF11" s="811"/>
      <c r="EG11" s="811"/>
      <c r="EH11" s="811"/>
      <c r="EI11" s="811"/>
      <c r="EJ11" s="811"/>
      <c r="EK11" s="811"/>
      <c r="EL11" s="811"/>
      <c r="EM11" s="811"/>
      <c r="EN11" s="811"/>
      <c r="EO11" s="811"/>
      <c r="EP11" s="811"/>
      <c r="EQ11" s="811"/>
      <c r="ER11" s="811"/>
      <c r="ES11" s="811"/>
      <c r="ET11" s="811"/>
      <c r="EU11" s="811"/>
      <c r="EV11" s="811"/>
      <c r="EW11" s="811"/>
      <c r="EX11" s="811"/>
      <c r="EY11" s="811"/>
      <c r="EZ11" s="811"/>
      <c r="FA11" s="811"/>
      <c r="FB11" s="811"/>
      <c r="FC11" s="811"/>
      <c r="FD11" s="811"/>
      <c r="FE11" s="811"/>
      <c r="FF11" s="811"/>
      <c r="FG11" s="812"/>
      <c r="FH11" s="251"/>
      <c r="FI11" s="811"/>
      <c r="FJ11" s="811"/>
      <c r="FK11" s="811"/>
      <c r="FL11" s="811"/>
      <c r="FM11" s="811"/>
      <c r="FN11" s="811"/>
      <c r="FO11" s="811"/>
      <c r="FP11" s="811"/>
      <c r="FQ11" s="811"/>
      <c r="FR11" s="811"/>
      <c r="FS11" s="811"/>
      <c r="FT11" s="811"/>
      <c r="FU11" s="811"/>
      <c r="FV11" s="811"/>
      <c r="FW11" s="811"/>
      <c r="FX11" s="811"/>
      <c r="FY11" s="811"/>
      <c r="FZ11" s="811"/>
      <c r="GA11" s="811"/>
      <c r="GB11" s="811"/>
      <c r="GC11" s="811"/>
      <c r="GD11" s="811"/>
      <c r="GE11" s="811"/>
      <c r="GF11" s="811"/>
      <c r="GG11" s="811"/>
      <c r="GH11" s="811"/>
      <c r="GI11" s="811"/>
      <c r="GJ11" s="811"/>
      <c r="GK11" s="811"/>
      <c r="GL11" s="811"/>
      <c r="GM11" s="811"/>
      <c r="GN11" s="811"/>
      <c r="GO11" s="811"/>
      <c r="GP11" s="811"/>
      <c r="GQ11" s="811"/>
      <c r="GR11" s="811"/>
      <c r="GS11" s="811"/>
      <c r="GT11" s="811"/>
      <c r="GU11" s="811"/>
      <c r="GV11" s="811"/>
      <c r="GW11" s="811"/>
      <c r="GX11" s="811"/>
      <c r="GY11" s="811"/>
      <c r="GZ11" s="811"/>
      <c r="HA11" s="811"/>
      <c r="HB11" s="811"/>
      <c r="HC11" s="811"/>
      <c r="HD11" s="811"/>
      <c r="HE11" s="811"/>
      <c r="HF11" s="811"/>
      <c r="HG11" s="811"/>
      <c r="HH11" s="811"/>
      <c r="HI11" s="811"/>
      <c r="HJ11" s="811"/>
      <c r="HK11" s="811"/>
      <c r="HL11" s="811"/>
      <c r="HM11" s="811"/>
      <c r="HN11" s="811"/>
      <c r="HO11" s="811"/>
      <c r="HP11" s="811"/>
      <c r="HQ11" s="811"/>
      <c r="HR11" s="811"/>
      <c r="HS11" s="811"/>
      <c r="HT11" s="811"/>
      <c r="HU11" s="811"/>
      <c r="HV11" s="811"/>
      <c r="HW11" s="811"/>
      <c r="HX11" s="811"/>
      <c r="HY11" s="811"/>
      <c r="HZ11" s="811"/>
      <c r="IA11" s="811"/>
      <c r="IB11" s="811"/>
      <c r="IC11" s="811"/>
      <c r="ID11" s="811"/>
      <c r="IE11" s="811"/>
      <c r="IF11" s="811"/>
      <c r="IG11" s="811"/>
      <c r="IH11" s="811"/>
      <c r="II11" s="811"/>
    </row>
    <row r="12" spans="1:244" ht="21" customHeight="1">
      <c r="A12" s="814"/>
      <c r="B12" s="788"/>
      <c r="C12" s="815"/>
      <c r="D12" s="815"/>
      <c r="E12" s="815"/>
      <c r="F12" s="815"/>
      <c r="G12" s="815"/>
      <c r="H12" s="816"/>
      <c r="I12" s="816"/>
      <c r="J12" s="816"/>
      <c r="K12" s="816"/>
      <c r="L12" s="816"/>
      <c r="M12" s="816"/>
      <c r="N12" s="816"/>
      <c r="O12" s="817"/>
      <c r="P12" s="250"/>
      <c r="Q12" s="252"/>
      <c r="R12" s="252"/>
      <c r="S12" s="253"/>
      <c r="T12" s="253"/>
      <c r="U12" s="252"/>
      <c r="V12" s="252"/>
      <c r="W12" s="810"/>
      <c r="X12" s="810"/>
      <c r="Y12" s="810"/>
      <c r="Z12" s="810"/>
      <c r="AA12" s="810"/>
      <c r="AB12" s="811"/>
      <c r="AC12" s="812"/>
      <c r="AD12" s="811"/>
      <c r="AE12" s="811"/>
      <c r="AF12" s="811"/>
      <c r="AG12" s="811"/>
      <c r="AH12" s="811"/>
      <c r="AI12" s="812"/>
      <c r="AJ12" s="813"/>
      <c r="AK12" s="812"/>
      <c r="AL12" s="813"/>
      <c r="AM12" s="811"/>
      <c r="AN12" s="811"/>
      <c r="AO12" s="811"/>
      <c r="AP12" s="811"/>
      <c r="AQ12" s="811"/>
      <c r="AR12" s="811"/>
      <c r="AS12" s="811"/>
      <c r="AT12" s="811"/>
      <c r="AU12" s="811"/>
      <c r="AV12" s="811"/>
      <c r="AW12" s="811"/>
      <c r="AX12" s="811"/>
      <c r="AY12" s="811"/>
      <c r="AZ12" s="811"/>
      <c r="BA12" s="811"/>
      <c r="BB12" s="811"/>
      <c r="BC12" s="811"/>
      <c r="BD12" s="811"/>
      <c r="BE12" s="811"/>
      <c r="BF12" s="811"/>
      <c r="BG12" s="811"/>
      <c r="BH12" s="811"/>
      <c r="BI12" s="811"/>
      <c r="BJ12" s="811"/>
      <c r="BK12" s="811"/>
      <c r="BL12" s="811"/>
      <c r="BM12" s="811"/>
      <c r="BN12" s="811"/>
      <c r="BO12" s="811"/>
      <c r="BP12" s="811"/>
      <c r="BQ12" s="811"/>
      <c r="BR12" s="811"/>
      <c r="BS12" s="811"/>
      <c r="BT12" s="811"/>
      <c r="BU12" s="811"/>
      <c r="BV12" s="811"/>
      <c r="BW12" s="811"/>
      <c r="BX12" s="811"/>
      <c r="BY12" s="811"/>
      <c r="BZ12" s="811"/>
      <c r="CA12" s="811"/>
      <c r="CB12" s="811"/>
      <c r="CC12" s="811"/>
      <c r="CD12" s="811"/>
      <c r="CE12" s="811"/>
      <c r="CF12" s="811"/>
      <c r="CG12" s="811"/>
      <c r="CH12" s="811"/>
      <c r="CI12" s="811"/>
      <c r="CJ12" s="811"/>
      <c r="CK12" s="811"/>
      <c r="CL12" s="811"/>
      <c r="CM12" s="811"/>
      <c r="CN12" s="811"/>
      <c r="CO12" s="811"/>
      <c r="CP12" s="811"/>
      <c r="CQ12" s="811"/>
      <c r="CR12" s="811"/>
      <c r="CS12" s="811"/>
      <c r="CT12" s="811"/>
      <c r="CU12" s="811"/>
      <c r="CV12" s="811"/>
      <c r="CW12" s="811"/>
      <c r="CX12" s="811"/>
      <c r="CY12" s="811"/>
      <c r="CZ12" s="811"/>
      <c r="DA12" s="811"/>
      <c r="DB12" s="811"/>
      <c r="DC12" s="811"/>
      <c r="DD12" s="811"/>
      <c r="DE12" s="811"/>
      <c r="DF12" s="811"/>
      <c r="DG12" s="811"/>
      <c r="DH12" s="811"/>
      <c r="DI12" s="811"/>
      <c r="DJ12" s="811"/>
      <c r="DK12" s="811"/>
      <c r="DL12" s="811"/>
      <c r="DM12" s="811"/>
      <c r="DN12" s="811"/>
      <c r="DO12" s="811"/>
      <c r="DP12" s="811"/>
      <c r="DQ12" s="811"/>
      <c r="DR12" s="811"/>
      <c r="DS12" s="811"/>
      <c r="DT12" s="811"/>
      <c r="DU12" s="811"/>
      <c r="DV12" s="811"/>
      <c r="DW12" s="811"/>
      <c r="DX12" s="811"/>
      <c r="DY12" s="811"/>
      <c r="DZ12" s="811"/>
      <c r="EA12" s="811"/>
      <c r="EB12" s="811"/>
      <c r="EC12" s="811"/>
      <c r="ED12" s="811"/>
      <c r="EE12" s="811"/>
      <c r="EF12" s="811"/>
      <c r="EG12" s="811"/>
      <c r="EH12" s="811"/>
      <c r="EI12" s="811"/>
      <c r="EJ12" s="811"/>
      <c r="EK12" s="811"/>
      <c r="EL12" s="811"/>
      <c r="EM12" s="811"/>
      <c r="EN12" s="811"/>
      <c r="EO12" s="811"/>
      <c r="EP12" s="811"/>
      <c r="EQ12" s="811"/>
      <c r="ER12" s="811"/>
      <c r="ES12" s="811"/>
      <c r="ET12" s="811"/>
      <c r="EU12" s="811"/>
      <c r="EV12" s="811"/>
      <c r="EW12" s="811"/>
      <c r="EX12" s="811"/>
      <c r="EY12" s="811"/>
      <c r="EZ12" s="811"/>
      <c r="FA12" s="811"/>
      <c r="FB12" s="811"/>
      <c r="FC12" s="811"/>
      <c r="FD12" s="811"/>
      <c r="FE12" s="811"/>
      <c r="FF12" s="811"/>
      <c r="FG12" s="812"/>
      <c r="FH12" s="251"/>
      <c r="FI12" s="811"/>
      <c r="FJ12" s="811"/>
      <c r="FK12" s="811"/>
      <c r="FL12" s="811"/>
      <c r="FM12" s="811"/>
      <c r="FN12" s="811"/>
      <c r="FO12" s="811"/>
      <c r="FP12" s="811"/>
      <c r="FQ12" s="811"/>
      <c r="FR12" s="811"/>
      <c r="FS12" s="811"/>
      <c r="FT12" s="811"/>
      <c r="FU12" s="811"/>
      <c r="FV12" s="811"/>
      <c r="FW12" s="811"/>
      <c r="FX12" s="811"/>
      <c r="FY12" s="811"/>
      <c r="FZ12" s="811"/>
      <c r="GA12" s="811"/>
      <c r="GB12" s="811"/>
      <c r="GC12" s="811"/>
      <c r="GD12" s="811"/>
      <c r="GE12" s="811"/>
      <c r="GF12" s="811"/>
      <c r="GG12" s="811"/>
      <c r="GH12" s="811"/>
      <c r="GI12" s="811"/>
      <c r="GJ12" s="811"/>
      <c r="GK12" s="811"/>
      <c r="GL12" s="811"/>
      <c r="GM12" s="811"/>
      <c r="GN12" s="811"/>
      <c r="GO12" s="811"/>
      <c r="GP12" s="811"/>
      <c r="GQ12" s="811"/>
      <c r="GR12" s="811"/>
      <c r="GS12" s="811"/>
      <c r="GT12" s="811"/>
      <c r="GU12" s="811"/>
      <c r="GV12" s="811"/>
      <c r="GW12" s="811"/>
      <c r="GX12" s="811"/>
      <c r="GY12" s="811"/>
      <c r="GZ12" s="811"/>
      <c r="HA12" s="811"/>
      <c r="HB12" s="811"/>
      <c r="HC12" s="811"/>
      <c r="HD12" s="811"/>
      <c r="HE12" s="811"/>
      <c r="HF12" s="811"/>
      <c r="HG12" s="811"/>
      <c r="HH12" s="811"/>
      <c r="HI12" s="811"/>
      <c r="HJ12" s="811"/>
      <c r="HK12" s="811"/>
      <c r="HL12" s="811"/>
      <c r="HM12" s="811"/>
      <c r="HN12" s="811"/>
      <c r="HO12" s="811"/>
      <c r="HP12" s="811"/>
      <c r="HQ12" s="811"/>
      <c r="HR12" s="811"/>
      <c r="HS12" s="811"/>
      <c r="HT12" s="811"/>
      <c r="HU12" s="811"/>
      <c r="HV12" s="811"/>
      <c r="HW12" s="811"/>
      <c r="HX12" s="811"/>
      <c r="HY12" s="811"/>
      <c r="HZ12" s="811"/>
      <c r="IA12" s="811"/>
      <c r="IB12" s="811"/>
      <c r="IC12" s="811"/>
      <c r="ID12" s="811"/>
      <c r="IE12" s="811"/>
      <c r="IF12" s="811"/>
      <c r="IG12" s="811"/>
      <c r="IH12" s="811"/>
      <c r="II12" s="811"/>
    </row>
    <row r="13" spans="1:244" outlineLevel="1">
      <c r="A13" s="293"/>
      <c r="B13" s="255"/>
      <c r="C13" s="256"/>
      <c r="D13" s="256"/>
      <c r="E13" s="256"/>
      <c r="F13" s="256"/>
      <c r="G13" s="257"/>
      <c r="H13" s="259"/>
      <c r="I13" s="265"/>
      <c r="J13" s="265"/>
      <c r="K13" s="283"/>
      <c r="L13" s="277"/>
      <c r="M13" s="259"/>
      <c r="N13" s="259"/>
      <c r="O13" s="260"/>
      <c r="P13" s="261"/>
      <c r="Q13" s="252"/>
      <c r="R13" s="252"/>
      <c r="S13" s="252"/>
      <c r="T13" s="252"/>
      <c r="U13" s="252"/>
      <c r="V13" s="252"/>
      <c r="W13" s="810"/>
      <c r="X13" s="11"/>
      <c r="Y13" s="14"/>
      <c r="AA13" s="14"/>
      <c r="AC13" s="14"/>
      <c r="AI13" s="812"/>
      <c r="AJ13" s="813"/>
      <c r="AK13" s="812"/>
      <c r="AL13" s="813"/>
      <c r="FG13" s="14"/>
      <c r="FH13" s="262"/>
    </row>
    <row r="14" spans="1:244" ht="48" customHeight="1" outlineLevel="1">
      <c r="A14" s="293"/>
      <c r="B14" s="818"/>
      <c r="C14" s="263"/>
      <c r="D14" s="256"/>
      <c r="E14" s="256"/>
      <c r="F14" s="256"/>
      <c r="G14" s="257"/>
      <c r="H14" s="283"/>
      <c r="I14" s="264"/>
      <c r="J14" s="264"/>
      <c r="K14" s="264"/>
      <c r="L14" s="277"/>
      <c r="M14" s="259"/>
      <c r="N14" s="259"/>
      <c r="O14" s="266"/>
      <c r="P14" s="261"/>
      <c r="Q14" s="252"/>
      <c r="R14" s="252"/>
      <c r="S14" s="252"/>
      <c r="T14" s="819"/>
      <c r="U14" s="252"/>
      <c r="V14" s="252"/>
      <c r="W14" s="810"/>
      <c r="Y14" s="14"/>
      <c r="AC14" s="14"/>
      <c r="AI14" s="812"/>
      <c r="AJ14" s="813"/>
      <c r="AK14" s="812"/>
      <c r="AL14" s="813"/>
      <c r="FG14" s="14"/>
      <c r="FH14" s="267"/>
    </row>
    <row r="15" spans="1:244" outlineLevel="1">
      <c r="A15" s="293"/>
      <c r="B15" s="268"/>
      <c r="C15" s="263"/>
      <c r="D15" s="256"/>
      <c r="E15" s="256"/>
      <c r="F15" s="256"/>
      <c r="G15" s="257"/>
      <c r="H15" s="283"/>
      <c r="I15" s="264"/>
      <c r="J15" s="264"/>
      <c r="K15" s="264"/>
      <c r="L15" s="277"/>
      <c r="M15" s="259"/>
      <c r="N15" s="259"/>
      <c r="O15" s="266"/>
      <c r="P15" s="261"/>
      <c r="Q15" s="252"/>
      <c r="R15" s="252"/>
      <c r="S15" s="252"/>
      <c r="T15" s="252"/>
      <c r="U15" s="252"/>
      <c r="V15" s="252"/>
      <c r="W15" s="810"/>
      <c r="Y15" s="14"/>
      <c r="AC15" s="14"/>
      <c r="AI15" s="812"/>
      <c r="AJ15" s="813"/>
      <c r="AK15" s="812"/>
      <c r="AL15" s="813"/>
      <c r="FG15" s="14"/>
      <c r="FH15" s="267"/>
    </row>
    <row r="16" spans="1:244" ht="30" customHeight="1">
      <c r="A16" s="814"/>
      <c r="B16" s="788"/>
      <c r="C16" s="820"/>
      <c r="D16" s="815"/>
      <c r="E16" s="815"/>
      <c r="F16" s="821"/>
      <c r="G16" s="822"/>
      <c r="H16" s="823"/>
      <c r="I16" s="824"/>
      <c r="J16" s="824"/>
      <c r="K16" s="824"/>
      <c r="L16" s="824"/>
      <c r="M16" s="824"/>
      <c r="N16" s="824"/>
      <c r="O16" s="817"/>
      <c r="P16" s="250"/>
      <c r="Q16" s="252"/>
      <c r="R16" s="252"/>
      <c r="S16" s="253"/>
      <c r="T16" s="253"/>
      <c r="U16" s="252"/>
      <c r="V16" s="252"/>
      <c r="W16" s="810"/>
      <c r="X16" s="810"/>
      <c r="Y16" s="810"/>
      <c r="Z16" s="810"/>
      <c r="AA16" s="810"/>
      <c r="AB16" s="811"/>
      <c r="AC16" s="812"/>
      <c r="AD16" s="811"/>
      <c r="AE16" s="811"/>
      <c r="AF16" s="811"/>
      <c r="AG16" s="811"/>
      <c r="AH16" s="811"/>
      <c r="AI16" s="812"/>
      <c r="AJ16" s="813"/>
      <c r="AK16" s="812"/>
      <c r="AL16" s="813"/>
      <c r="AM16" s="811"/>
      <c r="AN16" s="811"/>
      <c r="AO16" s="811"/>
      <c r="AP16" s="811"/>
      <c r="AQ16" s="811"/>
      <c r="AR16" s="811"/>
      <c r="AS16" s="811"/>
      <c r="AT16" s="811"/>
      <c r="AU16" s="811"/>
      <c r="AV16" s="811"/>
      <c r="AW16" s="811"/>
      <c r="AX16" s="811"/>
      <c r="AY16" s="811"/>
      <c r="AZ16" s="811"/>
      <c r="BA16" s="811"/>
      <c r="BB16" s="811"/>
      <c r="BC16" s="811"/>
      <c r="BD16" s="811"/>
      <c r="BE16" s="811"/>
      <c r="BF16" s="811"/>
      <c r="BG16" s="811"/>
      <c r="BH16" s="811"/>
      <c r="BI16" s="811"/>
      <c r="BJ16" s="811"/>
      <c r="BK16" s="811"/>
      <c r="BL16" s="811"/>
      <c r="BM16" s="811"/>
      <c r="BN16" s="811"/>
      <c r="BO16" s="811"/>
      <c r="BP16" s="811"/>
      <c r="BQ16" s="811"/>
      <c r="BR16" s="811"/>
      <c r="BS16" s="811"/>
      <c r="BT16" s="811"/>
      <c r="BU16" s="811"/>
      <c r="BV16" s="811"/>
      <c r="BW16" s="811"/>
      <c r="BX16" s="811"/>
      <c r="BY16" s="811"/>
      <c r="BZ16" s="811"/>
      <c r="CA16" s="811"/>
      <c r="CB16" s="811"/>
      <c r="CC16" s="811"/>
      <c r="CD16" s="811"/>
      <c r="CE16" s="811"/>
      <c r="CF16" s="811"/>
      <c r="CG16" s="811"/>
      <c r="CH16" s="811"/>
      <c r="CI16" s="811"/>
      <c r="CJ16" s="811"/>
      <c r="CK16" s="811"/>
      <c r="CL16" s="811"/>
      <c r="CM16" s="811"/>
      <c r="CN16" s="811"/>
      <c r="CO16" s="811"/>
      <c r="CP16" s="811"/>
      <c r="CQ16" s="811"/>
      <c r="CR16" s="811"/>
      <c r="CS16" s="811"/>
      <c r="CT16" s="811"/>
      <c r="CU16" s="811"/>
      <c r="CV16" s="811"/>
      <c r="CW16" s="811"/>
      <c r="CX16" s="811"/>
      <c r="CY16" s="811"/>
      <c r="CZ16" s="811"/>
      <c r="DA16" s="811"/>
      <c r="DB16" s="811"/>
      <c r="DC16" s="811"/>
      <c r="DD16" s="811"/>
      <c r="DE16" s="811"/>
      <c r="DF16" s="811"/>
      <c r="DG16" s="811"/>
      <c r="DH16" s="811"/>
      <c r="DI16" s="811"/>
      <c r="DJ16" s="811"/>
      <c r="DK16" s="811"/>
      <c r="DL16" s="811"/>
      <c r="DM16" s="811"/>
      <c r="DN16" s="811"/>
      <c r="DO16" s="811"/>
      <c r="DP16" s="811"/>
      <c r="DQ16" s="811"/>
      <c r="DR16" s="811"/>
      <c r="DS16" s="811"/>
      <c r="DT16" s="811"/>
      <c r="DU16" s="811"/>
      <c r="DV16" s="811"/>
      <c r="DW16" s="811"/>
      <c r="DX16" s="811"/>
      <c r="DY16" s="811"/>
      <c r="DZ16" s="811"/>
      <c r="EA16" s="811"/>
      <c r="EB16" s="811"/>
      <c r="EC16" s="811"/>
      <c r="ED16" s="811"/>
      <c r="EE16" s="811"/>
      <c r="EF16" s="811"/>
      <c r="EG16" s="811"/>
      <c r="EH16" s="811"/>
      <c r="EI16" s="811"/>
      <c r="EJ16" s="811"/>
      <c r="EK16" s="811"/>
      <c r="EL16" s="811"/>
      <c r="EM16" s="811"/>
      <c r="EN16" s="811"/>
      <c r="EO16" s="811"/>
      <c r="EP16" s="811"/>
      <c r="EQ16" s="811"/>
      <c r="ER16" s="811"/>
      <c r="ES16" s="811"/>
      <c r="ET16" s="811"/>
      <c r="EU16" s="811"/>
      <c r="EV16" s="811"/>
      <c r="EW16" s="811"/>
      <c r="EX16" s="811"/>
      <c r="EY16" s="811"/>
      <c r="EZ16" s="811"/>
      <c r="FA16" s="811"/>
      <c r="FB16" s="811"/>
      <c r="FC16" s="811"/>
      <c r="FD16" s="811"/>
      <c r="FE16" s="811"/>
      <c r="FF16" s="811"/>
      <c r="FG16" s="812"/>
      <c r="FH16" s="251"/>
      <c r="FI16" s="811"/>
      <c r="FJ16" s="811"/>
      <c r="FK16" s="811"/>
      <c r="FL16" s="811"/>
      <c r="FM16" s="811"/>
      <c r="FN16" s="811"/>
      <c r="FO16" s="811"/>
      <c r="FP16" s="811"/>
      <c r="FQ16" s="811"/>
      <c r="FR16" s="811"/>
      <c r="FS16" s="811"/>
      <c r="FT16" s="811"/>
      <c r="FU16" s="811"/>
      <c r="FV16" s="811"/>
      <c r="FW16" s="811"/>
      <c r="FX16" s="811"/>
      <c r="FY16" s="811"/>
      <c r="FZ16" s="811"/>
      <c r="GA16" s="811"/>
      <c r="GB16" s="811"/>
      <c r="GC16" s="811"/>
      <c r="GD16" s="811"/>
      <c r="GE16" s="811"/>
      <c r="GF16" s="811"/>
      <c r="GG16" s="811"/>
      <c r="GH16" s="811"/>
      <c r="GI16" s="811"/>
      <c r="GJ16" s="811"/>
      <c r="GK16" s="811"/>
      <c r="GL16" s="811"/>
      <c r="GM16" s="811"/>
      <c r="GN16" s="811"/>
      <c r="GO16" s="811"/>
      <c r="GP16" s="811"/>
      <c r="GQ16" s="811"/>
      <c r="GR16" s="811"/>
      <c r="GS16" s="811"/>
      <c r="GT16" s="811"/>
      <c r="GU16" s="811"/>
      <c r="GV16" s="811"/>
      <c r="GW16" s="811"/>
      <c r="GX16" s="811"/>
      <c r="GY16" s="811"/>
      <c r="GZ16" s="811"/>
      <c r="HA16" s="811"/>
      <c r="HB16" s="811"/>
      <c r="HC16" s="811"/>
      <c r="HD16" s="811"/>
      <c r="HE16" s="811"/>
      <c r="HF16" s="811"/>
      <c r="HG16" s="811"/>
      <c r="HH16" s="811"/>
      <c r="HI16" s="811"/>
      <c r="HJ16" s="811"/>
      <c r="HK16" s="811"/>
      <c r="HL16" s="811"/>
      <c r="HM16" s="811"/>
      <c r="HN16" s="811"/>
      <c r="HO16" s="811"/>
      <c r="HP16" s="811"/>
      <c r="HQ16" s="811"/>
      <c r="HR16" s="811"/>
      <c r="HS16" s="811"/>
      <c r="HT16" s="811"/>
      <c r="HU16" s="811"/>
      <c r="HV16" s="811"/>
      <c r="HW16" s="811"/>
      <c r="HX16" s="811"/>
      <c r="HY16" s="811"/>
      <c r="HZ16" s="811"/>
      <c r="IA16" s="811"/>
      <c r="IB16" s="811"/>
      <c r="IC16" s="811"/>
      <c r="ID16" s="811"/>
      <c r="IE16" s="811"/>
      <c r="IF16" s="811"/>
      <c r="IG16" s="811"/>
      <c r="IH16" s="811"/>
      <c r="II16" s="811"/>
    </row>
    <row r="17" spans="1:244" outlineLevel="1">
      <c r="A17" s="293"/>
      <c r="B17" s="268"/>
      <c r="C17" s="256"/>
      <c r="D17" s="256"/>
      <c r="E17" s="256"/>
      <c r="F17" s="256"/>
      <c r="G17" s="257"/>
      <c r="H17" s="259"/>
      <c r="I17" s="428"/>
      <c r="J17" s="428"/>
      <c r="K17" s="428"/>
      <c r="L17" s="277"/>
      <c r="M17" s="259"/>
      <c r="N17" s="259"/>
      <c r="O17" s="266"/>
      <c r="P17" s="261"/>
      <c r="Q17" s="252"/>
      <c r="R17" s="252"/>
      <c r="S17" s="252"/>
      <c r="T17" s="252"/>
      <c r="U17" s="252"/>
      <c r="V17" s="252"/>
      <c r="W17" s="810"/>
      <c r="Y17" s="14"/>
      <c r="AC17" s="14"/>
      <c r="AI17" s="812"/>
      <c r="AJ17" s="813"/>
      <c r="AK17" s="812"/>
      <c r="AL17" s="813"/>
      <c r="FG17" s="14"/>
      <c r="FH17" s="267"/>
    </row>
    <row r="18" spans="1:244" outlineLevel="1">
      <c r="A18" s="293"/>
      <c r="B18" s="268"/>
      <c r="C18" s="256"/>
      <c r="D18" s="256"/>
      <c r="E18" s="256"/>
      <c r="F18" s="256"/>
      <c r="G18" s="257"/>
      <c r="H18" s="259"/>
      <c r="I18" s="259"/>
      <c r="J18" s="259"/>
      <c r="K18" s="259"/>
      <c r="L18" s="277"/>
      <c r="M18" s="259"/>
      <c r="N18" s="259"/>
      <c r="O18" s="269"/>
      <c r="P18" s="261"/>
      <c r="Q18" s="252"/>
      <c r="R18" s="252"/>
      <c r="S18" s="252"/>
      <c r="T18" s="252"/>
      <c r="U18" s="252"/>
      <c r="V18" s="252"/>
      <c r="W18" s="810"/>
      <c r="Y18" s="14"/>
      <c r="AC18" s="14"/>
      <c r="AI18" s="812"/>
      <c r="AJ18" s="813"/>
      <c r="AK18" s="812"/>
      <c r="AL18" s="813"/>
      <c r="FG18" s="14"/>
      <c r="FH18" s="267"/>
    </row>
    <row r="19" spans="1:244" ht="30" customHeight="1">
      <c r="A19" s="814"/>
      <c r="B19" s="788"/>
      <c r="C19" s="820"/>
      <c r="D19" s="815"/>
      <c r="E19" s="815"/>
      <c r="F19" s="821"/>
      <c r="G19" s="822"/>
      <c r="H19" s="823"/>
      <c r="I19" s="824"/>
      <c r="J19" s="824"/>
      <c r="K19" s="824"/>
      <c r="L19" s="824"/>
      <c r="M19" s="824"/>
      <c r="N19" s="824"/>
      <c r="O19" s="817"/>
      <c r="P19" s="250"/>
      <c r="Q19" s="252"/>
      <c r="R19" s="252"/>
      <c r="S19" s="253"/>
      <c r="T19" s="253"/>
      <c r="U19" s="252"/>
      <c r="V19" s="252"/>
      <c r="W19" s="810"/>
      <c r="X19" s="810"/>
      <c r="Y19" s="810"/>
      <c r="Z19" s="810"/>
      <c r="AA19" s="810"/>
      <c r="AB19" s="811"/>
      <c r="AC19" s="812"/>
      <c r="AD19" s="811"/>
      <c r="AE19" s="811"/>
      <c r="AF19" s="811"/>
      <c r="AG19" s="811"/>
      <c r="AH19" s="811"/>
      <c r="AI19" s="812"/>
      <c r="AJ19" s="813"/>
      <c r="AK19" s="812"/>
      <c r="AL19" s="813"/>
      <c r="AM19" s="811"/>
      <c r="AN19" s="811"/>
      <c r="AO19" s="811"/>
      <c r="AP19" s="811"/>
      <c r="AQ19" s="811"/>
      <c r="AR19" s="811"/>
      <c r="AS19" s="811"/>
      <c r="AT19" s="811"/>
      <c r="AU19" s="811"/>
      <c r="AV19" s="811"/>
      <c r="AW19" s="811"/>
      <c r="AX19" s="811"/>
      <c r="AY19" s="811"/>
      <c r="AZ19" s="811"/>
      <c r="BA19" s="811"/>
      <c r="BB19" s="811"/>
      <c r="BC19" s="811"/>
      <c r="BD19" s="811"/>
      <c r="BE19" s="811"/>
      <c r="BF19" s="811"/>
      <c r="BG19" s="811"/>
      <c r="BH19" s="811"/>
      <c r="BI19" s="811"/>
      <c r="BJ19" s="811"/>
      <c r="BK19" s="811"/>
      <c r="BL19" s="811"/>
      <c r="BM19" s="811"/>
      <c r="BN19" s="811"/>
      <c r="BO19" s="811"/>
      <c r="BP19" s="811"/>
      <c r="BQ19" s="811"/>
      <c r="BR19" s="811"/>
      <c r="BS19" s="811"/>
      <c r="BT19" s="811"/>
      <c r="BU19" s="811"/>
      <c r="BV19" s="811"/>
      <c r="BW19" s="811"/>
      <c r="BX19" s="811"/>
      <c r="BY19" s="811"/>
      <c r="BZ19" s="811"/>
      <c r="CA19" s="811"/>
      <c r="CB19" s="811"/>
      <c r="CC19" s="811"/>
      <c r="CD19" s="811"/>
      <c r="CE19" s="811"/>
      <c r="CF19" s="811"/>
      <c r="CG19" s="811"/>
      <c r="CH19" s="811"/>
      <c r="CI19" s="811"/>
      <c r="CJ19" s="811"/>
      <c r="CK19" s="811"/>
      <c r="CL19" s="811"/>
      <c r="CM19" s="811"/>
      <c r="CN19" s="811"/>
      <c r="CO19" s="811"/>
      <c r="CP19" s="811"/>
      <c r="CQ19" s="811"/>
      <c r="CR19" s="811"/>
      <c r="CS19" s="811"/>
      <c r="CT19" s="811"/>
      <c r="CU19" s="811"/>
      <c r="CV19" s="811"/>
      <c r="CW19" s="811"/>
      <c r="CX19" s="811"/>
      <c r="CY19" s="811"/>
      <c r="CZ19" s="811"/>
      <c r="DA19" s="811"/>
      <c r="DB19" s="811"/>
      <c r="DC19" s="811"/>
      <c r="DD19" s="811"/>
      <c r="DE19" s="811"/>
      <c r="DF19" s="811"/>
      <c r="DG19" s="811"/>
      <c r="DH19" s="811"/>
      <c r="DI19" s="811"/>
      <c r="DJ19" s="811"/>
      <c r="DK19" s="811"/>
      <c r="DL19" s="811"/>
      <c r="DM19" s="811"/>
      <c r="DN19" s="811"/>
      <c r="DO19" s="811"/>
      <c r="DP19" s="811"/>
      <c r="DQ19" s="811"/>
      <c r="DR19" s="811"/>
      <c r="DS19" s="811"/>
      <c r="DT19" s="811"/>
      <c r="DU19" s="811"/>
      <c r="DV19" s="811"/>
      <c r="DW19" s="811"/>
      <c r="DX19" s="811"/>
      <c r="DY19" s="811"/>
      <c r="DZ19" s="811"/>
      <c r="EA19" s="811"/>
      <c r="EB19" s="811"/>
      <c r="EC19" s="811"/>
      <c r="ED19" s="811"/>
      <c r="EE19" s="811"/>
      <c r="EF19" s="811"/>
      <c r="EG19" s="811"/>
      <c r="EH19" s="811"/>
      <c r="EI19" s="811"/>
      <c r="EJ19" s="811"/>
      <c r="EK19" s="811"/>
      <c r="EL19" s="811"/>
      <c r="EM19" s="811"/>
      <c r="EN19" s="811"/>
      <c r="EO19" s="811"/>
      <c r="EP19" s="811"/>
      <c r="EQ19" s="811"/>
      <c r="ER19" s="811"/>
      <c r="ES19" s="811"/>
      <c r="ET19" s="811"/>
      <c r="EU19" s="811"/>
      <c r="EV19" s="811"/>
      <c r="EW19" s="811"/>
      <c r="EX19" s="811"/>
      <c r="EY19" s="811"/>
      <c r="EZ19" s="811"/>
      <c r="FA19" s="811"/>
      <c r="FB19" s="811"/>
      <c r="FC19" s="811"/>
      <c r="FD19" s="811"/>
      <c r="FE19" s="811"/>
      <c r="FF19" s="811"/>
      <c r="FG19" s="812"/>
      <c r="FH19" s="251"/>
      <c r="FI19" s="811"/>
      <c r="FJ19" s="811"/>
      <c r="FK19" s="811"/>
      <c r="FL19" s="811"/>
      <c r="FM19" s="811"/>
      <c r="FN19" s="811"/>
      <c r="FO19" s="811"/>
      <c r="FP19" s="811"/>
      <c r="FQ19" s="811"/>
      <c r="FR19" s="811"/>
      <c r="FS19" s="811"/>
      <c r="FT19" s="811"/>
      <c r="FU19" s="811"/>
      <c r="FV19" s="811"/>
      <c r="FW19" s="811"/>
      <c r="FX19" s="811"/>
      <c r="FY19" s="811"/>
      <c r="FZ19" s="811"/>
      <c r="GA19" s="811"/>
      <c r="GB19" s="811"/>
      <c r="GC19" s="811"/>
      <c r="GD19" s="811"/>
      <c r="GE19" s="811"/>
      <c r="GF19" s="811"/>
      <c r="GG19" s="811"/>
      <c r="GH19" s="811"/>
      <c r="GI19" s="811"/>
      <c r="GJ19" s="811"/>
      <c r="GK19" s="811"/>
      <c r="GL19" s="811"/>
      <c r="GM19" s="811"/>
      <c r="GN19" s="811"/>
      <c r="GO19" s="811"/>
      <c r="GP19" s="811"/>
      <c r="GQ19" s="811"/>
      <c r="GR19" s="811"/>
      <c r="GS19" s="811"/>
      <c r="GT19" s="811"/>
      <c r="GU19" s="811"/>
      <c r="GV19" s="811"/>
      <c r="GW19" s="811"/>
      <c r="GX19" s="811"/>
      <c r="GY19" s="811"/>
      <c r="GZ19" s="811"/>
      <c r="HA19" s="811"/>
      <c r="HB19" s="811"/>
      <c r="HC19" s="811"/>
      <c r="HD19" s="811"/>
      <c r="HE19" s="811"/>
      <c r="HF19" s="811"/>
      <c r="HG19" s="811"/>
      <c r="HH19" s="811"/>
      <c r="HI19" s="811"/>
      <c r="HJ19" s="811"/>
      <c r="HK19" s="811"/>
      <c r="HL19" s="811"/>
      <c r="HM19" s="811"/>
      <c r="HN19" s="811"/>
      <c r="HO19" s="811"/>
      <c r="HP19" s="811"/>
      <c r="HQ19" s="811"/>
      <c r="HR19" s="811"/>
      <c r="HS19" s="811"/>
      <c r="HT19" s="811"/>
      <c r="HU19" s="811"/>
      <c r="HV19" s="811"/>
      <c r="HW19" s="811"/>
      <c r="HX19" s="811"/>
      <c r="HY19" s="811"/>
      <c r="HZ19" s="811"/>
      <c r="IA19" s="811"/>
      <c r="IB19" s="811"/>
      <c r="IC19" s="811"/>
      <c r="ID19" s="811"/>
      <c r="IE19" s="811"/>
      <c r="IF19" s="811"/>
      <c r="IG19" s="811"/>
      <c r="IH19" s="811"/>
      <c r="II19" s="811"/>
    </row>
    <row r="20" spans="1:244" ht="39.6" customHeight="1" outlineLevel="1">
      <c r="A20" s="293"/>
      <c r="B20" s="255"/>
      <c r="C20" s="256"/>
      <c r="D20" s="256"/>
      <c r="E20" s="256"/>
      <c r="F20" s="256"/>
      <c r="G20" s="257"/>
      <c r="H20" s="259"/>
      <c r="I20" s="265"/>
      <c r="J20" s="265"/>
      <c r="K20" s="265"/>
      <c r="L20" s="277"/>
      <c r="M20" s="259"/>
      <c r="N20" s="259"/>
      <c r="O20" s="270"/>
      <c r="P20" s="261"/>
      <c r="Q20" s="252"/>
      <c r="R20" s="252"/>
      <c r="S20" s="252"/>
      <c r="T20" s="252"/>
      <c r="U20" s="252"/>
      <c r="V20" s="252"/>
      <c r="W20" s="810"/>
      <c r="Y20" s="14"/>
      <c r="Z20" s="11"/>
      <c r="AA20" s="14"/>
      <c r="AC20" s="14"/>
      <c r="AI20" s="812"/>
      <c r="AJ20" s="813"/>
      <c r="AK20" s="812"/>
      <c r="AL20" s="813"/>
      <c r="FG20" s="14"/>
      <c r="FH20" s="262"/>
    </row>
    <row r="21" spans="1:244" ht="22.5" customHeight="1">
      <c r="A21" s="814"/>
      <c r="B21" s="788"/>
      <c r="C21" s="820"/>
      <c r="D21" s="815"/>
      <c r="E21" s="815"/>
      <c r="F21" s="820"/>
      <c r="G21" s="815"/>
      <c r="H21" s="824"/>
      <c r="I21" s="824"/>
      <c r="J21" s="824"/>
      <c r="K21" s="824"/>
      <c r="L21" s="824"/>
      <c r="M21" s="824"/>
      <c r="N21" s="823"/>
      <c r="O21" s="817"/>
      <c r="P21" s="250"/>
      <c r="Q21" s="252"/>
      <c r="R21" s="252"/>
      <c r="S21" s="253"/>
      <c r="T21" s="253"/>
      <c r="U21" s="252"/>
      <c r="V21" s="252"/>
      <c r="W21" s="810"/>
      <c r="X21" s="810"/>
      <c r="Y21" s="810"/>
      <c r="Z21" s="810"/>
      <c r="AA21" s="810"/>
      <c r="AB21" s="811"/>
      <c r="AC21" s="812"/>
      <c r="AD21" s="811"/>
      <c r="AE21" s="811"/>
      <c r="AF21" s="811"/>
      <c r="AG21" s="811"/>
      <c r="AH21" s="811"/>
      <c r="AI21" s="812"/>
      <c r="AJ21" s="813"/>
      <c r="AK21" s="812"/>
      <c r="AL21" s="813"/>
      <c r="AM21" s="811"/>
      <c r="AN21" s="811"/>
      <c r="AO21" s="811"/>
      <c r="AP21" s="811"/>
      <c r="AQ21" s="811"/>
      <c r="AR21" s="811"/>
      <c r="AS21" s="811"/>
      <c r="AT21" s="811"/>
      <c r="AU21" s="811"/>
      <c r="AV21" s="811"/>
      <c r="AW21" s="811"/>
      <c r="AX21" s="811"/>
      <c r="AY21" s="811"/>
      <c r="AZ21" s="811"/>
      <c r="BA21" s="811"/>
      <c r="BB21" s="811"/>
      <c r="BC21" s="811"/>
      <c r="BD21" s="811"/>
      <c r="BE21" s="811"/>
      <c r="BF21" s="811"/>
      <c r="BG21" s="811"/>
      <c r="BH21" s="811"/>
      <c r="BI21" s="811"/>
      <c r="BJ21" s="811"/>
      <c r="BK21" s="811"/>
      <c r="BL21" s="811"/>
      <c r="BM21" s="811"/>
      <c r="BN21" s="811"/>
      <c r="BO21" s="811"/>
      <c r="BP21" s="811"/>
      <c r="BQ21" s="811"/>
      <c r="BR21" s="811"/>
      <c r="BS21" s="811"/>
      <c r="BT21" s="811"/>
      <c r="BU21" s="811"/>
      <c r="BV21" s="811"/>
      <c r="BW21" s="811"/>
      <c r="BX21" s="811"/>
      <c r="BY21" s="811"/>
      <c r="BZ21" s="811"/>
      <c r="CA21" s="811"/>
      <c r="CB21" s="811"/>
      <c r="CC21" s="811"/>
      <c r="CD21" s="811"/>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811"/>
      <c r="EV21" s="811"/>
      <c r="EW21" s="811"/>
      <c r="EX21" s="811"/>
      <c r="EY21" s="811"/>
      <c r="EZ21" s="811"/>
      <c r="FA21" s="811"/>
      <c r="FB21" s="811"/>
      <c r="FC21" s="811"/>
      <c r="FD21" s="811"/>
      <c r="FE21" s="811"/>
      <c r="FF21" s="811"/>
      <c r="FG21" s="812"/>
      <c r="FH21" s="251"/>
      <c r="FI21" s="811"/>
      <c r="FJ21" s="811"/>
      <c r="FK21" s="811"/>
      <c r="FL21" s="811"/>
      <c r="FM21" s="811"/>
      <c r="FN21" s="811"/>
      <c r="FO21" s="811"/>
      <c r="FP21" s="811"/>
      <c r="FQ21" s="811"/>
      <c r="FR21" s="811"/>
      <c r="FS21" s="811"/>
      <c r="FT21" s="811"/>
      <c r="FU21" s="811"/>
      <c r="FV21" s="811"/>
      <c r="FW21" s="811"/>
      <c r="FX21" s="811"/>
      <c r="FY21" s="811"/>
      <c r="FZ21" s="811"/>
      <c r="GA21" s="811"/>
      <c r="GB21" s="811"/>
      <c r="GC21" s="811"/>
      <c r="GD21" s="811"/>
      <c r="GE21" s="811"/>
      <c r="GF21" s="811"/>
      <c r="GG21" s="811"/>
      <c r="GH21" s="811"/>
      <c r="GI21" s="811"/>
      <c r="GJ21" s="811"/>
      <c r="GK21" s="811"/>
      <c r="GL21" s="811"/>
      <c r="GM21" s="811"/>
      <c r="GN21" s="811"/>
      <c r="GO21" s="811"/>
      <c r="GP21" s="811"/>
      <c r="GQ21" s="811"/>
      <c r="GR21" s="811"/>
      <c r="GS21" s="811"/>
      <c r="GT21" s="811"/>
      <c r="GU21" s="811"/>
      <c r="GV21" s="811"/>
      <c r="GW21" s="811"/>
      <c r="GX21" s="811"/>
      <c r="GY21" s="811"/>
      <c r="GZ21" s="811"/>
      <c r="HA21" s="811"/>
      <c r="HB21" s="811"/>
      <c r="HC21" s="811"/>
      <c r="HD21" s="811"/>
      <c r="HE21" s="811"/>
      <c r="HF21" s="811"/>
      <c r="HG21" s="811"/>
      <c r="HH21" s="811"/>
      <c r="HI21" s="811"/>
      <c r="HJ21" s="811"/>
      <c r="HK21" s="811"/>
      <c r="HL21" s="811"/>
      <c r="HM21" s="811"/>
      <c r="HN21" s="811"/>
      <c r="HO21" s="811"/>
      <c r="HP21" s="811"/>
      <c r="HQ21" s="811"/>
      <c r="HR21" s="811"/>
      <c r="HS21" s="811"/>
      <c r="HT21" s="811"/>
      <c r="HU21" s="811"/>
      <c r="HV21" s="811"/>
      <c r="HW21" s="811"/>
      <c r="HX21" s="811"/>
      <c r="HY21" s="811"/>
      <c r="HZ21" s="811"/>
      <c r="IA21" s="811"/>
      <c r="IB21" s="811"/>
      <c r="IC21" s="811"/>
      <c r="ID21" s="811"/>
      <c r="IE21" s="811"/>
      <c r="IF21" s="811"/>
      <c r="IG21" s="811"/>
      <c r="IH21" s="811"/>
      <c r="II21" s="811"/>
    </row>
    <row r="22" spans="1:244" ht="34.5" customHeight="1" outlineLevel="1">
      <c r="A22" s="293"/>
      <c r="B22" s="255"/>
      <c r="C22" s="256"/>
      <c r="D22" s="256"/>
      <c r="E22" s="256"/>
      <c r="F22" s="256"/>
      <c r="G22" s="257"/>
      <c r="H22" s="259"/>
      <c r="I22" s="265"/>
      <c r="J22" s="265"/>
      <c r="K22" s="265"/>
      <c r="L22" s="277"/>
      <c r="M22" s="259"/>
      <c r="N22" s="259"/>
      <c r="O22" s="260"/>
      <c r="P22" s="261"/>
      <c r="Q22" s="252"/>
      <c r="R22" s="252"/>
      <c r="S22" s="252"/>
      <c r="T22" s="252"/>
      <c r="U22" s="252"/>
      <c r="V22" s="252"/>
      <c r="W22" s="810"/>
      <c r="X22" s="11"/>
      <c r="Y22" s="14"/>
      <c r="AA22" s="14"/>
      <c r="AC22" s="14"/>
      <c r="AI22" s="812"/>
      <c r="AJ22" s="813"/>
      <c r="AK22" s="812"/>
      <c r="AL22" s="813"/>
      <c r="FG22" s="14"/>
      <c r="FH22" s="262"/>
    </row>
    <row r="23" spans="1:244" ht="7.5" customHeight="1">
      <c r="A23" s="273"/>
      <c r="B23" s="825"/>
      <c r="C23" s="825"/>
      <c r="D23" s="825"/>
      <c r="E23" s="825"/>
      <c r="F23" s="826"/>
      <c r="G23" s="825"/>
      <c r="H23" s="825"/>
      <c r="I23" s="825"/>
      <c r="J23" s="825"/>
      <c r="K23" s="825"/>
      <c r="L23" s="827"/>
      <c r="M23" s="827"/>
      <c r="N23" s="827"/>
      <c r="O23" s="273"/>
      <c r="P23" s="273"/>
      <c r="AJ23" s="813"/>
      <c r="AK23" s="812"/>
      <c r="AL23" s="813"/>
    </row>
    <row r="24" spans="1:244">
      <c r="A24" s="828"/>
      <c r="B24" s="829"/>
      <c r="C24" s="830"/>
      <c r="D24" s="830"/>
      <c r="E24" s="830"/>
      <c r="F24" s="830"/>
      <c r="G24" s="830"/>
      <c r="H24" s="830"/>
      <c r="I24" s="830"/>
      <c r="J24" s="830"/>
      <c r="K24" s="830"/>
      <c r="L24" s="831"/>
      <c r="M24" s="831"/>
      <c r="N24" s="831"/>
      <c r="O24" s="832"/>
      <c r="P24" s="832"/>
      <c r="Q24" s="828"/>
      <c r="R24" s="828"/>
      <c r="S24" s="828"/>
      <c r="T24" s="828"/>
      <c r="U24" s="828"/>
      <c r="V24" s="828"/>
      <c r="W24" s="828"/>
      <c r="X24" s="828"/>
      <c r="Y24" s="828"/>
      <c r="Z24" s="828"/>
      <c r="AA24" s="828"/>
      <c r="AB24" s="828"/>
      <c r="AC24" s="828"/>
      <c r="AD24" s="828"/>
      <c r="AE24" s="828"/>
      <c r="AF24" s="828"/>
      <c r="AG24" s="828"/>
      <c r="AH24" s="828"/>
      <c r="AI24" s="828"/>
      <c r="AJ24" s="813"/>
      <c r="AK24" s="812"/>
      <c r="AL24" s="813"/>
      <c r="AM24" s="828"/>
      <c r="AN24" s="828"/>
      <c r="AO24" s="828"/>
      <c r="AP24" s="828"/>
      <c r="AQ24" s="828"/>
      <c r="AR24" s="828"/>
      <c r="AS24" s="828"/>
      <c r="AT24" s="828"/>
      <c r="AU24" s="828"/>
      <c r="AV24" s="828"/>
      <c r="AW24" s="828"/>
      <c r="AX24" s="828"/>
      <c r="AY24" s="828"/>
      <c r="AZ24" s="828"/>
      <c r="BA24" s="828"/>
      <c r="BB24" s="828"/>
      <c r="BC24" s="828"/>
      <c r="BD24" s="828"/>
      <c r="BE24" s="828"/>
      <c r="BF24" s="828"/>
      <c r="BG24" s="828"/>
      <c r="BH24" s="828"/>
      <c r="BI24" s="828"/>
      <c r="BJ24" s="828"/>
      <c r="BK24" s="828"/>
      <c r="BL24" s="828"/>
      <c r="BM24" s="828"/>
      <c r="BN24" s="828"/>
      <c r="BO24" s="828"/>
      <c r="BP24" s="828"/>
      <c r="BQ24" s="828"/>
      <c r="BR24" s="828"/>
      <c r="BS24" s="828"/>
      <c r="BT24" s="828"/>
      <c r="BU24" s="828"/>
      <c r="BV24" s="828"/>
      <c r="BW24" s="828"/>
      <c r="BX24" s="828"/>
      <c r="BY24" s="828"/>
      <c r="BZ24" s="828"/>
      <c r="CA24" s="828"/>
      <c r="CB24" s="828"/>
      <c r="CC24" s="828"/>
      <c r="CD24" s="828"/>
      <c r="CE24" s="828"/>
      <c r="CF24" s="828"/>
      <c r="CG24" s="828"/>
      <c r="CH24" s="828"/>
      <c r="CI24" s="828"/>
      <c r="CJ24" s="828"/>
      <c r="CK24" s="828"/>
      <c r="CL24" s="828"/>
      <c r="CM24" s="828"/>
      <c r="CN24" s="828"/>
      <c r="CO24" s="828"/>
      <c r="CP24" s="828"/>
      <c r="CQ24" s="828"/>
      <c r="CR24" s="828"/>
      <c r="CS24" s="828"/>
      <c r="CT24" s="828"/>
      <c r="CU24" s="828"/>
      <c r="CV24" s="828"/>
      <c r="CW24" s="828"/>
      <c r="CX24" s="828"/>
      <c r="CY24" s="828"/>
      <c r="CZ24" s="828"/>
      <c r="DA24" s="828"/>
      <c r="DB24" s="828"/>
      <c r="DC24" s="828"/>
      <c r="DD24" s="828"/>
      <c r="DE24" s="828"/>
      <c r="DF24" s="828"/>
      <c r="DG24" s="828"/>
      <c r="DH24" s="828"/>
      <c r="DI24" s="828"/>
      <c r="DJ24" s="828"/>
      <c r="DK24" s="828"/>
      <c r="DL24" s="828"/>
      <c r="DM24" s="828"/>
      <c r="DN24" s="828"/>
      <c r="DO24" s="828"/>
      <c r="DP24" s="828"/>
      <c r="DQ24" s="828"/>
      <c r="DR24" s="828"/>
      <c r="DS24" s="828"/>
      <c r="DT24" s="828"/>
      <c r="DU24" s="828"/>
      <c r="DV24" s="828"/>
      <c r="DW24" s="828"/>
      <c r="DX24" s="828"/>
      <c r="DY24" s="828"/>
      <c r="DZ24" s="828"/>
      <c r="EA24" s="828"/>
      <c r="EB24" s="828"/>
      <c r="EC24" s="828"/>
      <c r="ED24" s="828"/>
      <c r="EE24" s="828"/>
      <c r="EF24" s="828"/>
      <c r="EG24" s="828"/>
      <c r="EH24" s="828"/>
      <c r="EI24" s="828"/>
      <c r="EJ24" s="828"/>
      <c r="EK24" s="828"/>
      <c r="EL24" s="828"/>
      <c r="EM24" s="828"/>
      <c r="EN24" s="828"/>
      <c r="EO24" s="828"/>
      <c r="EP24" s="828"/>
      <c r="EQ24" s="828"/>
      <c r="ER24" s="828"/>
      <c r="ES24" s="828"/>
      <c r="ET24" s="828"/>
      <c r="EU24" s="828"/>
      <c r="EV24" s="828"/>
      <c r="EW24" s="828"/>
      <c r="EX24" s="828"/>
      <c r="EY24" s="828"/>
      <c r="EZ24" s="828"/>
      <c r="FA24" s="828"/>
      <c r="FB24" s="828"/>
      <c r="FC24" s="828"/>
      <c r="FD24" s="828"/>
      <c r="FE24" s="828"/>
      <c r="FF24" s="828"/>
      <c r="FG24" s="828"/>
      <c r="FH24" s="828"/>
      <c r="FI24" s="828"/>
      <c r="FJ24" s="828"/>
      <c r="FK24" s="828"/>
      <c r="FL24" s="828"/>
      <c r="FM24" s="828"/>
      <c r="FN24" s="828"/>
      <c r="FO24" s="828"/>
      <c r="FP24" s="828"/>
      <c r="FQ24" s="828"/>
      <c r="FR24" s="828"/>
      <c r="FS24" s="828"/>
      <c r="FT24" s="828"/>
      <c r="FU24" s="828"/>
      <c r="FV24" s="828"/>
      <c r="FW24" s="828"/>
      <c r="FX24" s="828"/>
      <c r="FY24" s="828"/>
      <c r="FZ24" s="828"/>
      <c r="GA24" s="828"/>
      <c r="GB24" s="828"/>
      <c r="GC24" s="828"/>
      <c r="GD24" s="828"/>
      <c r="GE24" s="828"/>
      <c r="GF24" s="828"/>
      <c r="GG24" s="828"/>
      <c r="GH24" s="828"/>
      <c r="GI24" s="828"/>
      <c r="GJ24" s="828"/>
      <c r="GK24" s="828"/>
      <c r="GL24" s="828"/>
      <c r="GM24" s="828"/>
      <c r="GN24" s="828"/>
      <c r="GO24" s="828"/>
      <c r="GP24" s="828"/>
      <c r="GQ24" s="828"/>
      <c r="GR24" s="828"/>
      <c r="GS24" s="828"/>
      <c r="GT24" s="828"/>
      <c r="GU24" s="828"/>
      <c r="GV24" s="828"/>
      <c r="GW24" s="828"/>
      <c r="GX24" s="828"/>
      <c r="GY24" s="828"/>
      <c r="GZ24" s="828"/>
      <c r="HA24" s="828"/>
      <c r="HB24" s="828"/>
      <c r="HC24" s="828"/>
      <c r="HD24" s="828"/>
      <c r="HE24" s="828"/>
      <c r="HF24" s="828"/>
      <c r="HG24" s="828"/>
      <c r="HH24" s="828"/>
      <c r="HI24" s="828"/>
      <c r="HJ24" s="828"/>
      <c r="HK24" s="828"/>
      <c r="HL24" s="828"/>
      <c r="HM24" s="828"/>
      <c r="HN24" s="828"/>
      <c r="HO24" s="828"/>
      <c r="HP24" s="828"/>
      <c r="HQ24" s="828"/>
      <c r="HR24" s="828"/>
      <c r="HS24" s="828"/>
      <c r="HT24" s="828"/>
      <c r="HU24" s="828"/>
      <c r="HV24" s="828"/>
      <c r="HW24" s="828"/>
      <c r="HX24" s="828"/>
      <c r="HY24" s="828"/>
      <c r="HZ24" s="828"/>
      <c r="IA24" s="828"/>
      <c r="IB24" s="828"/>
      <c r="IC24" s="828"/>
      <c r="ID24" s="828"/>
      <c r="IE24" s="828"/>
      <c r="IF24" s="828"/>
      <c r="IG24" s="828"/>
      <c r="IH24" s="828"/>
      <c r="II24" s="828"/>
      <c r="IJ24" s="828"/>
    </row>
    <row r="25" spans="1:244" ht="18.75">
      <c r="A25" s="921"/>
      <c r="B25" s="922"/>
      <c r="C25" s="922"/>
      <c r="D25" s="922"/>
      <c r="E25" s="922"/>
      <c r="F25" s="922"/>
      <c r="G25" s="922"/>
      <c r="H25" s="922"/>
      <c r="I25" s="922"/>
      <c r="J25" s="922"/>
      <c r="K25" s="922"/>
      <c r="L25" s="922"/>
      <c r="M25" s="922"/>
      <c r="N25" s="922"/>
      <c r="O25" s="922"/>
      <c r="P25" s="833"/>
      <c r="Q25" s="795"/>
      <c r="R25" s="795"/>
      <c r="S25" s="795"/>
      <c r="T25" s="795"/>
      <c r="U25" s="795"/>
      <c r="V25" s="795"/>
      <c r="W25" s="795"/>
      <c r="X25" s="795"/>
      <c r="Y25" s="795"/>
      <c r="Z25" s="795"/>
      <c r="AA25" s="795"/>
      <c r="AB25" s="795"/>
      <c r="AC25" s="795"/>
      <c r="AD25" s="795"/>
      <c r="AE25" s="795"/>
      <c r="AF25" s="795"/>
      <c r="AG25" s="795"/>
      <c r="AH25" s="795"/>
      <c r="AI25" s="795"/>
      <c r="AJ25" s="813"/>
      <c r="AK25" s="812"/>
      <c r="AL25" s="813"/>
      <c r="AM25" s="795"/>
      <c r="AN25" s="795"/>
      <c r="AO25" s="795"/>
      <c r="AP25" s="795"/>
      <c r="AQ25" s="795"/>
      <c r="AR25" s="795"/>
      <c r="AS25" s="795"/>
      <c r="AT25" s="795"/>
      <c r="AU25" s="795"/>
      <c r="AV25" s="795"/>
      <c r="AW25" s="795"/>
      <c r="AX25" s="795"/>
      <c r="AY25" s="795"/>
      <c r="AZ25" s="795"/>
      <c r="BA25" s="795"/>
      <c r="BB25" s="795"/>
      <c r="BC25" s="795"/>
      <c r="BD25" s="795"/>
      <c r="BE25" s="795"/>
      <c r="BF25" s="795"/>
      <c r="BG25" s="795"/>
      <c r="BH25" s="795"/>
      <c r="BI25" s="795"/>
      <c r="BJ25" s="795"/>
      <c r="BK25" s="795"/>
      <c r="BL25" s="795"/>
      <c r="BM25" s="795"/>
      <c r="BN25" s="795"/>
      <c r="BO25" s="795"/>
      <c r="BP25" s="795"/>
      <c r="BQ25" s="795"/>
      <c r="BR25" s="795"/>
      <c r="BS25" s="795"/>
      <c r="BT25" s="795"/>
      <c r="BU25" s="795"/>
      <c r="BV25" s="795"/>
      <c r="BW25" s="795"/>
      <c r="BX25" s="795"/>
      <c r="BY25" s="795"/>
      <c r="BZ25" s="795"/>
      <c r="CA25" s="795"/>
      <c r="CB25" s="795"/>
      <c r="CC25" s="795"/>
      <c r="CD25" s="795"/>
      <c r="CE25" s="795"/>
      <c r="CF25" s="795"/>
      <c r="CG25" s="795"/>
      <c r="CH25" s="795"/>
      <c r="CI25" s="795"/>
      <c r="CJ25" s="795"/>
      <c r="CK25" s="795"/>
      <c r="CL25" s="795"/>
      <c r="CM25" s="795"/>
      <c r="CN25" s="795"/>
      <c r="CO25" s="795"/>
      <c r="CP25" s="795"/>
      <c r="CQ25" s="795"/>
      <c r="CR25" s="795"/>
      <c r="CS25" s="795"/>
      <c r="CT25" s="795"/>
      <c r="CU25" s="795"/>
      <c r="CV25" s="795"/>
      <c r="CW25" s="795"/>
      <c r="CX25" s="795"/>
      <c r="CY25" s="795"/>
      <c r="CZ25" s="795"/>
      <c r="DA25" s="795"/>
      <c r="DB25" s="795"/>
      <c r="DC25" s="795"/>
      <c r="DD25" s="795"/>
      <c r="DE25" s="795"/>
      <c r="DF25" s="795"/>
      <c r="DG25" s="795"/>
      <c r="DH25" s="795"/>
      <c r="DI25" s="795"/>
      <c r="DJ25" s="795"/>
      <c r="DK25" s="795"/>
      <c r="DL25" s="795"/>
      <c r="DM25" s="795"/>
      <c r="DN25" s="795"/>
      <c r="DO25" s="795"/>
      <c r="DP25" s="795"/>
      <c r="DQ25" s="795"/>
      <c r="DR25" s="795"/>
      <c r="DS25" s="795"/>
      <c r="DT25" s="795"/>
      <c r="DU25" s="795"/>
      <c r="DV25" s="795"/>
      <c r="DW25" s="795"/>
      <c r="DX25" s="795"/>
      <c r="DY25" s="795"/>
      <c r="DZ25" s="795"/>
      <c r="EA25" s="795"/>
      <c r="EB25" s="795"/>
      <c r="EC25" s="795"/>
      <c r="ED25" s="795"/>
      <c r="EE25" s="795"/>
      <c r="EF25" s="795"/>
      <c r="EG25" s="795"/>
      <c r="EH25" s="795"/>
      <c r="EI25" s="795"/>
      <c r="EJ25" s="795"/>
      <c r="EK25" s="795"/>
      <c r="EL25" s="795"/>
      <c r="EM25" s="795"/>
      <c r="EN25" s="795"/>
      <c r="EO25" s="795"/>
      <c r="EP25" s="795"/>
      <c r="EQ25" s="795"/>
      <c r="ER25" s="795"/>
      <c r="ES25" s="795"/>
      <c r="ET25" s="795"/>
      <c r="EU25" s="795"/>
      <c r="EV25" s="795"/>
      <c r="EW25" s="795"/>
      <c r="EX25" s="795"/>
      <c r="EY25" s="795"/>
      <c r="EZ25" s="795"/>
      <c r="FA25" s="795"/>
      <c r="FB25" s="795"/>
      <c r="FC25" s="795"/>
      <c r="FD25" s="795"/>
      <c r="FE25" s="795"/>
      <c r="FF25" s="795"/>
      <c r="FG25" s="274"/>
      <c r="FH25" s="834"/>
      <c r="FI25" s="275"/>
      <c r="FJ25" s="795"/>
      <c r="FK25" s="795"/>
      <c r="FL25" s="795"/>
      <c r="FM25" s="795"/>
      <c r="FN25" s="795"/>
      <c r="FO25" s="795"/>
      <c r="FP25" s="795"/>
      <c r="FQ25" s="795"/>
      <c r="FR25" s="795"/>
      <c r="FS25" s="795"/>
      <c r="FT25" s="795"/>
      <c r="FU25" s="795"/>
      <c r="FV25" s="795"/>
      <c r="FW25" s="795"/>
      <c r="FX25" s="795"/>
      <c r="FY25" s="795"/>
      <c r="FZ25" s="795"/>
      <c r="GA25" s="795"/>
      <c r="GB25" s="795"/>
      <c r="GC25" s="795"/>
      <c r="GD25" s="795"/>
      <c r="GE25" s="795"/>
      <c r="GF25" s="795"/>
      <c r="GG25" s="795"/>
      <c r="GH25" s="795"/>
      <c r="GI25" s="795"/>
      <c r="GJ25" s="795"/>
      <c r="GK25" s="795"/>
      <c r="GL25" s="795"/>
      <c r="GM25" s="795"/>
      <c r="GN25" s="795"/>
      <c r="GO25" s="795"/>
      <c r="GP25" s="795"/>
      <c r="GQ25" s="795"/>
      <c r="GR25" s="795"/>
      <c r="GS25" s="795"/>
      <c r="GT25" s="795"/>
      <c r="GU25" s="795"/>
      <c r="GV25" s="795"/>
      <c r="GW25" s="795"/>
      <c r="GX25" s="795"/>
      <c r="GY25" s="795"/>
      <c r="GZ25" s="795"/>
      <c r="HA25" s="795"/>
      <c r="HB25" s="795"/>
      <c r="HC25" s="795"/>
      <c r="HD25" s="795"/>
      <c r="HE25" s="795"/>
      <c r="HF25" s="795"/>
      <c r="HG25" s="795"/>
      <c r="HH25" s="795"/>
      <c r="HI25" s="795"/>
      <c r="HJ25" s="795"/>
      <c r="HK25" s="795"/>
      <c r="HL25" s="795"/>
      <c r="HM25" s="795"/>
      <c r="HN25" s="795"/>
      <c r="HO25" s="795"/>
      <c r="HP25" s="795"/>
      <c r="HQ25" s="795"/>
      <c r="HR25" s="795"/>
      <c r="HS25" s="795"/>
      <c r="HT25" s="795"/>
      <c r="HU25" s="795"/>
      <c r="HV25" s="795"/>
      <c r="HW25" s="795"/>
      <c r="HX25" s="795"/>
      <c r="HY25" s="795"/>
      <c r="HZ25" s="795"/>
      <c r="IA25" s="795"/>
      <c r="IB25" s="795"/>
      <c r="IC25" s="795"/>
      <c r="ID25" s="795"/>
      <c r="IE25" s="795"/>
      <c r="IF25" s="795"/>
      <c r="IG25" s="795"/>
      <c r="IH25" s="795"/>
      <c r="II25" s="795"/>
      <c r="IJ25" s="795"/>
    </row>
    <row r="26" spans="1:244">
      <c r="C26" s="14"/>
      <c r="D26" s="14"/>
      <c r="E26" s="14"/>
      <c r="F26" s="14"/>
      <c r="G26" s="14"/>
      <c r="H26" s="14"/>
      <c r="I26" s="14"/>
      <c r="J26" s="14"/>
      <c r="K26" s="14"/>
      <c r="L26" s="835"/>
      <c r="M26" s="835"/>
      <c r="N26" s="835"/>
      <c r="O26" s="199"/>
    </row>
    <row r="28" spans="1:244">
      <c r="P28" s="199"/>
      <c r="FG28" s="24"/>
      <c r="FH28" s="280"/>
    </row>
    <row r="29" spans="1:244">
      <c r="FH29" s="14"/>
      <c r="FI29" s="24"/>
    </row>
  </sheetData>
  <mergeCells count="24">
    <mergeCell ref="A1:P1"/>
    <mergeCell ref="A2:O2"/>
    <mergeCell ref="A3:O3"/>
    <mergeCell ref="A4:O4"/>
    <mergeCell ref="C6:P6"/>
    <mergeCell ref="A25:O25"/>
    <mergeCell ref="N7:N9"/>
    <mergeCell ref="B7:B9"/>
    <mergeCell ref="C7:C9"/>
    <mergeCell ref="F7:F9"/>
    <mergeCell ref="G7:G9"/>
    <mergeCell ref="H7:I7"/>
    <mergeCell ref="J7:J9"/>
    <mergeCell ref="K7:K9"/>
    <mergeCell ref="D7:D9"/>
    <mergeCell ref="A7:A9"/>
    <mergeCell ref="E7:E9"/>
    <mergeCell ref="W8:Y8"/>
    <mergeCell ref="H8:H9"/>
    <mergeCell ref="I8:I9"/>
    <mergeCell ref="L7:L9"/>
    <mergeCell ref="M7:M9"/>
    <mergeCell ref="O7:O9"/>
    <mergeCell ref="P7:P9"/>
  </mergeCells>
  <phoneticPr fontId="236" type="noConversion"/>
  <printOptions horizontalCentered="1"/>
  <pageMargins left="0.2" right="0.2" top="0.75" bottom="0.5" header="0.3" footer="0.3"/>
  <pageSetup paperSize="9" scale="73" orientation="landscape" r:id="rId1"/>
  <headerFooter>
    <oddHeader>&amp;C&amp;P</oddHeader>
  </headerFooter>
  <colBreaks count="1" manualBreakCount="1">
    <brk id="35" max="1048575" man="1"/>
  </col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
  <sheetViews>
    <sheetView tabSelected="1" zoomScaleNormal="100" workbookViewId="0">
      <selection activeCell="A3" sqref="A3:O3"/>
    </sheetView>
  </sheetViews>
  <sheetFormatPr defaultColWidth="9.140625" defaultRowHeight="15.75" outlineLevelRow="1"/>
  <cols>
    <col min="1" max="1" width="5.42578125" style="850" customWidth="1"/>
    <col min="2" max="2" width="35.140625" style="655" customWidth="1"/>
    <col min="3" max="3" width="11.5703125" style="655" customWidth="1"/>
    <col min="4" max="4" width="7.140625" style="655" customWidth="1"/>
    <col min="5" max="5" width="10.42578125" style="655" customWidth="1"/>
    <col min="6" max="6" width="8.28515625" style="655" customWidth="1"/>
    <col min="7" max="8" width="11.140625" style="655" customWidth="1"/>
    <col min="9" max="9" width="11.5703125" style="655" customWidth="1"/>
    <col min="10" max="10" width="11.28515625" style="655" customWidth="1"/>
    <col min="11" max="11" width="13.5703125" style="655" customWidth="1"/>
    <col min="12" max="12" width="12.85546875" style="655" customWidth="1"/>
    <col min="13" max="13" width="13.42578125" style="655" customWidth="1"/>
    <col min="14" max="14" width="10.7109375" style="655" customWidth="1"/>
    <col min="15" max="15" width="6.85546875" style="655" customWidth="1"/>
    <col min="16" max="16384" width="9.140625" style="655"/>
  </cols>
  <sheetData>
    <row r="1" spans="1:18" ht="20.25" customHeight="1" outlineLevel="1">
      <c r="A1" s="984" t="s">
        <v>1028</v>
      </c>
      <c r="B1" s="984"/>
      <c r="C1" s="984"/>
      <c r="D1" s="984"/>
      <c r="E1" s="984"/>
      <c r="F1" s="984"/>
      <c r="G1" s="984"/>
      <c r="H1" s="984"/>
      <c r="I1" s="984"/>
      <c r="J1" s="984"/>
      <c r="K1" s="984"/>
      <c r="L1" s="984"/>
      <c r="M1" s="984"/>
      <c r="N1" s="984"/>
      <c r="O1" s="984"/>
    </row>
    <row r="2" spans="1:18" ht="54.75" customHeight="1" outlineLevel="1">
      <c r="A2" s="983" t="s">
        <v>1029</v>
      </c>
      <c r="B2" s="983"/>
      <c r="C2" s="983"/>
      <c r="D2" s="983"/>
      <c r="E2" s="983"/>
      <c r="F2" s="983"/>
      <c r="G2" s="983"/>
      <c r="H2" s="983"/>
      <c r="I2" s="983"/>
      <c r="J2" s="983"/>
      <c r="K2" s="983"/>
      <c r="L2" s="983"/>
      <c r="M2" s="983"/>
      <c r="N2" s="983"/>
      <c r="O2" s="983"/>
    </row>
    <row r="3" spans="1:18" ht="18.75" outlineLevel="1">
      <c r="A3" s="929" t="s">
        <v>1043</v>
      </c>
      <c r="B3" s="929"/>
      <c r="C3" s="929"/>
      <c r="D3" s="929"/>
      <c r="E3" s="929"/>
      <c r="F3" s="929"/>
      <c r="G3" s="929"/>
      <c r="H3" s="929"/>
      <c r="I3" s="929"/>
      <c r="J3" s="929"/>
      <c r="K3" s="929"/>
      <c r="L3" s="929"/>
      <c r="M3" s="929"/>
      <c r="N3" s="929"/>
      <c r="O3" s="929"/>
    </row>
    <row r="4" spans="1:18" outlineLevel="1">
      <c r="A4" s="837"/>
      <c r="B4" s="838"/>
      <c r="C4" s="838"/>
      <c r="D4" s="838"/>
      <c r="E4" s="839"/>
      <c r="F4" s="839"/>
      <c r="G4" s="838"/>
      <c r="H4" s="839"/>
      <c r="I4" s="839"/>
      <c r="J4" s="840"/>
      <c r="K4" s="840"/>
      <c r="L4" s="840"/>
      <c r="M4" s="840"/>
      <c r="N4" s="840"/>
      <c r="O4" s="841"/>
    </row>
    <row r="5" spans="1:18" ht="33" customHeight="1">
      <c r="A5" s="859" t="s">
        <v>4</v>
      </c>
      <c r="B5" s="859" t="s">
        <v>1021</v>
      </c>
      <c r="C5" s="859" t="s">
        <v>1022</v>
      </c>
      <c r="D5" s="859" t="s">
        <v>153</v>
      </c>
      <c r="E5" s="859" t="s">
        <v>191</v>
      </c>
      <c r="F5" s="859" t="s">
        <v>1023</v>
      </c>
      <c r="G5" s="936" t="s">
        <v>1024</v>
      </c>
      <c r="H5" s="937"/>
      <c r="I5" s="937"/>
      <c r="J5" s="938"/>
      <c r="K5" s="933" t="s">
        <v>1042</v>
      </c>
      <c r="L5" s="932" t="s">
        <v>1037</v>
      </c>
      <c r="M5" s="932"/>
      <c r="N5" s="932"/>
      <c r="O5" s="863" t="s">
        <v>9</v>
      </c>
    </row>
    <row r="6" spans="1:18" ht="16.5" customHeight="1">
      <c r="A6" s="860"/>
      <c r="B6" s="860"/>
      <c r="C6" s="860"/>
      <c r="D6" s="860"/>
      <c r="E6" s="860"/>
      <c r="F6" s="860"/>
      <c r="G6" s="860" t="s">
        <v>1025</v>
      </c>
      <c r="H6" s="930" t="s">
        <v>157</v>
      </c>
      <c r="I6" s="932" t="s">
        <v>198</v>
      </c>
      <c r="J6" s="932"/>
      <c r="K6" s="934"/>
      <c r="L6" s="930" t="s">
        <v>1026</v>
      </c>
      <c r="M6" s="932" t="s">
        <v>198</v>
      </c>
      <c r="N6" s="932"/>
      <c r="O6" s="864"/>
    </row>
    <row r="7" spans="1:18" ht="60.6" customHeight="1">
      <c r="A7" s="861"/>
      <c r="B7" s="861"/>
      <c r="C7" s="861"/>
      <c r="D7" s="861"/>
      <c r="E7" s="861"/>
      <c r="F7" s="861"/>
      <c r="G7" s="861"/>
      <c r="H7" s="931"/>
      <c r="I7" s="853" t="s">
        <v>1031</v>
      </c>
      <c r="J7" s="853" t="s">
        <v>989</v>
      </c>
      <c r="K7" s="935"/>
      <c r="L7" s="931"/>
      <c r="M7" s="853" t="s">
        <v>1031</v>
      </c>
      <c r="N7" s="853" t="s">
        <v>989</v>
      </c>
      <c r="O7" s="865"/>
    </row>
    <row r="8" spans="1:18" ht="17.25" customHeight="1">
      <c r="A8" s="842">
        <v>1</v>
      </c>
      <c r="B8" s="842">
        <v>2</v>
      </c>
      <c r="C8" s="842">
        <v>3</v>
      </c>
      <c r="D8" s="842">
        <v>4</v>
      </c>
      <c r="E8" s="842">
        <v>5</v>
      </c>
      <c r="F8" s="842">
        <v>5</v>
      </c>
      <c r="G8" s="842">
        <f t="shared" ref="G8:H8" si="0">F8+1</f>
        <v>6</v>
      </c>
      <c r="H8" s="842">
        <f t="shared" si="0"/>
        <v>7</v>
      </c>
      <c r="I8" s="842">
        <f t="shared" ref="I8" si="1">H8+1</f>
        <v>8</v>
      </c>
      <c r="J8" s="842">
        <f t="shared" ref="J8" si="2">I8+1</f>
        <v>9</v>
      </c>
      <c r="K8" s="842">
        <f t="shared" ref="K8" si="3">J8+1</f>
        <v>10</v>
      </c>
      <c r="L8" s="842">
        <f t="shared" ref="L8" si="4">K8+1</f>
        <v>11</v>
      </c>
      <c r="M8" s="842">
        <f t="shared" ref="M8" si="5">L8+1</f>
        <v>12</v>
      </c>
      <c r="N8" s="842">
        <f t="shared" ref="N8" si="6">M8+1</f>
        <v>13</v>
      </c>
      <c r="O8" s="842">
        <f t="shared" ref="O8" si="7">N8+1</f>
        <v>14</v>
      </c>
    </row>
    <row r="9" spans="1:18" ht="22.5" customHeight="1">
      <c r="A9" s="842"/>
      <c r="B9" s="12" t="s">
        <v>138</v>
      </c>
      <c r="C9" s="842"/>
      <c r="D9" s="842"/>
      <c r="E9" s="842"/>
      <c r="F9" s="842"/>
      <c r="G9" s="842"/>
      <c r="H9" s="987">
        <f>H10</f>
        <v>4882</v>
      </c>
      <c r="I9" s="987">
        <f t="shared" ref="I9:N9" si="8">I10</f>
        <v>4064.8770909999998</v>
      </c>
      <c r="J9" s="987">
        <f t="shared" si="8"/>
        <v>500</v>
      </c>
      <c r="K9" s="987">
        <f t="shared" si="8"/>
        <v>0</v>
      </c>
      <c r="L9" s="987">
        <f t="shared" si="8"/>
        <v>4564.8770910000003</v>
      </c>
      <c r="M9" s="987">
        <f t="shared" si="8"/>
        <v>4064.8770909999998</v>
      </c>
      <c r="N9" s="987">
        <f t="shared" si="8"/>
        <v>500</v>
      </c>
      <c r="O9" s="844"/>
    </row>
    <row r="10" spans="1:18" s="121" customFormat="1" ht="93" customHeight="1">
      <c r="A10" s="845"/>
      <c r="B10" s="846" t="s">
        <v>1032</v>
      </c>
      <c r="C10" s="12"/>
      <c r="D10" s="12"/>
      <c r="E10" s="12"/>
      <c r="F10" s="12"/>
      <c r="G10" s="12"/>
      <c r="H10" s="987">
        <f>SUM(H11:H13)</f>
        <v>4882</v>
      </c>
      <c r="I10" s="987">
        <f t="shared" ref="I10:O10" si="9">SUM(I11:I13)</f>
        <v>4064.8770909999998</v>
      </c>
      <c r="J10" s="987">
        <f t="shared" si="9"/>
        <v>500</v>
      </c>
      <c r="K10" s="987">
        <f t="shared" si="9"/>
        <v>0</v>
      </c>
      <c r="L10" s="987">
        <f t="shared" si="9"/>
        <v>4564.8770910000003</v>
      </c>
      <c r="M10" s="987">
        <f t="shared" si="9"/>
        <v>4064.8770909999998</v>
      </c>
      <c r="N10" s="987">
        <f t="shared" si="9"/>
        <v>500</v>
      </c>
      <c r="O10" s="843">
        <f t="shared" si="9"/>
        <v>0</v>
      </c>
    </row>
    <row r="11" spans="1:18" s="849" customFormat="1" ht="66" customHeight="1">
      <c r="A11" s="842">
        <v>1</v>
      </c>
      <c r="B11" s="847" t="s">
        <v>1030</v>
      </c>
      <c r="C11" s="848" t="s">
        <v>1033</v>
      </c>
      <c r="D11" s="842" t="s">
        <v>173</v>
      </c>
      <c r="E11" s="848" t="s">
        <v>1034</v>
      </c>
      <c r="F11" s="851" t="s">
        <v>1035</v>
      </c>
      <c r="G11" s="842" t="s">
        <v>1036</v>
      </c>
      <c r="H11" s="985">
        <v>2152</v>
      </c>
      <c r="I11" s="985">
        <v>1800</v>
      </c>
      <c r="J11" s="985">
        <v>250</v>
      </c>
      <c r="K11" s="988"/>
      <c r="L11" s="988">
        <f>SUM(M11:N11)</f>
        <v>2050</v>
      </c>
      <c r="M11" s="985">
        <v>1800</v>
      </c>
      <c r="N11" s="985">
        <v>250</v>
      </c>
      <c r="O11" s="986"/>
      <c r="Q11" s="852"/>
      <c r="R11" s="850"/>
    </row>
    <row r="12" spans="1:18" s="849" customFormat="1" ht="64.5" customHeight="1">
      <c r="A12" s="842">
        <v>2</v>
      </c>
      <c r="B12" s="847" t="s">
        <v>1038</v>
      </c>
      <c r="C12" s="848" t="s">
        <v>1033</v>
      </c>
      <c r="D12" s="842" t="s">
        <v>173</v>
      </c>
      <c r="E12" s="848" t="s">
        <v>1027</v>
      </c>
      <c r="F12" s="851" t="s">
        <v>1035</v>
      </c>
      <c r="G12" s="842" t="s">
        <v>1040</v>
      </c>
      <c r="H12" s="985">
        <v>2258</v>
      </c>
      <c r="I12" s="985">
        <v>2000</v>
      </c>
      <c r="J12" s="985">
        <v>150</v>
      </c>
      <c r="K12" s="988"/>
      <c r="L12" s="988">
        <f>SUM(M12:N12)</f>
        <v>2150</v>
      </c>
      <c r="M12" s="985">
        <v>2000</v>
      </c>
      <c r="N12" s="985">
        <v>150</v>
      </c>
      <c r="O12" s="986"/>
      <c r="Q12" s="852"/>
      <c r="R12" s="850"/>
    </row>
    <row r="13" spans="1:18" s="849" customFormat="1" ht="65.25" customHeight="1">
      <c r="A13" s="842">
        <v>3</v>
      </c>
      <c r="B13" s="847" t="s">
        <v>1039</v>
      </c>
      <c r="C13" s="848" t="s">
        <v>1033</v>
      </c>
      <c r="D13" s="842" t="s">
        <v>173</v>
      </c>
      <c r="E13" s="848" t="s">
        <v>1034</v>
      </c>
      <c r="F13" s="851" t="s">
        <v>1035</v>
      </c>
      <c r="G13" s="842" t="s">
        <v>1041</v>
      </c>
      <c r="H13" s="985">
        <v>472</v>
      </c>
      <c r="I13" s="985">
        <v>264.87709099999995</v>
      </c>
      <c r="J13" s="985">
        <v>100</v>
      </c>
      <c r="K13" s="988"/>
      <c r="L13" s="988">
        <f>SUM(M13:N13)</f>
        <v>364.87709099999995</v>
      </c>
      <c r="M13" s="985">
        <v>264.87709099999995</v>
      </c>
      <c r="N13" s="985">
        <v>100</v>
      </c>
      <c r="O13" s="986"/>
      <c r="Q13" s="852"/>
      <c r="R13" s="850"/>
    </row>
  </sheetData>
  <mergeCells count="18">
    <mergeCell ref="M6:N6"/>
    <mergeCell ref="K5:K7"/>
    <mergeCell ref="G5:J5"/>
    <mergeCell ref="L5:N5"/>
    <mergeCell ref="I6:J6"/>
    <mergeCell ref="A1:O1"/>
    <mergeCell ref="A2:O2"/>
    <mergeCell ref="A3:O3"/>
    <mergeCell ref="A5:A7"/>
    <mergeCell ref="B5:B7"/>
    <mergeCell ref="C5:C7"/>
    <mergeCell ref="D5:D7"/>
    <mergeCell ref="E5:E7"/>
    <mergeCell ref="F5:F7"/>
    <mergeCell ref="O5:O7"/>
    <mergeCell ref="G6:G7"/>
    <mergeCell ref="H6:H7"/>
    <mergeCell ref="L6:L7"/>
  </mergeCells>
  <pageMargins left="0.43307086614173229" right="0.19685039370078741" top="0.74803149606299213" bottom="0.74803149606299213" header="0.31496062992125984" footer="0.31496062992125984"/>
  <pageSetup paperSize="9" scale="7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U122"/>
  <sheetViews>
    <sheetView topLeftCell="A22" workbookViewId="0">
      <selection activeCell="B33" sqref="B33"/>
    </sheetView>
  </sheetViews>
  <sheetFormatPr defaultRowHeight="15" outlineLevelRow="2"/>
  <cols>
    <col min="1" max="1" width="5.42578125" style="190" customWidth="1"/>
    <col min="2" max="2" width="37" customWidth="1"/>
    <col min="3" max="3" width="16.42578125" customWidth="1"/>
    <col min="4" max="4" width="6.7109375" customWidth="1"/>
    <col min="5" max="5" width="12" style="342" customWidth="1"/>
    <col min="6" max="6" width="21.85546875" customWidth="1"/>
    <col min="7" max="7" width="7" customWidth="1"/>
    <col min="8" max="8" width="9.7109375" hidden="1" customWidth="1"/>
    <col min="9" max="9" width="12.140625" customWidth="1"/>
    <col min="10" max="11" width="12.42578125" hidden="1" customWidth="1"/>
    <col min="12" max="14" width="0" hidden="1" customWidth="1"/>
    <col min="15" max="15" width="12.42578125" bestFit="1" customWidth="1"/>
    <col min="16" max="16" width="9.85546875" hidden="1" customWidth="1"/>
    <col min="17" max="17" width="12.42578125" hidden="1" customWidth="1"/>
    <col min="18" max="18" width="29.42578125" hidden="1" customWidth="1"/>
    <col min="19" max="19" width="34.7109375" customWidth="1"/>
    <col min="20" max="20" width="22.140625" customWidth="1"/>
    <col min="21" max="21" width="24.7109375" customWidth="1"/>
  </cols>
  <sheetData>
    <row r="1" spans="1:21" ht="18.75">
      <c r="A1" s="890" t="s">
        <v>933</v>
      </c>
      <c r="B1" s="890"/>
      <c r="C1" s="890"/>
      <c r="D1" s="890"/>
      <c r="E1" s="890"/>
      <c r="F1" s="890"/>
      <c r="G1" s="890"/>
      <c r="H1" s="890"/>
      <c r="I1" s="890"/>
      <c r="J1" s="890"/>
      <c r="K1" s="890"/>
      <c r="L1" s="890"/>
      <c r="M1" s="890"/>
      <c r="N1" s="890"/>
      <c r="O1" s="890"/>
      <c r="P1" s="890"/>
      <c r="Q1" s="890"/>
      <c r="R1" s="890"/>
      <c r="S1" s="890"/>
    </row>
    <row r="2" spans="1:21" ht="18.75">
      <c r="A2" s="890" t="s">
        <v>1004</v>
      </c>
      <c r="B2" s="939"/>
      <c r="C2" s="939"/>
      <c r="D2" s="939"/>
      <c r="E2" s="939"/>
      <c r="F2" s="939"/>
      <c r="G2" s="939"/>
      <c r="H2" s="939"/>
      <c r="I2" s="939"/>
      <c r="J2" s="939"/>
      <c r="K2" s="939"/>
      <c r="L2" s="939"/>
      <c r="M2" s="939"/>
      <c r="N2" s="939"/>
      <c r="O2" s="939"/>
      <c r="P2" s="939"/>
      <c r="Q2" s="939"/>
      <c r="R2" s="939"/>
      <c r="S2" s="939"/>
    </row>
    <row r="3" spans="1:21" ht="16.5">
      <c r="A3" s="940" t="s">
        <v>1000</v>
      </c>
      <c r="B3" s="940"/>
      <c r="C3" s="940"/>
      <c r="D3" s="940"/>
      <c r="E3" s="940"/>
      <c r="F3" s="940"/>
      <c r="G3" s="940"/>
      <c r="H3" s="940"/>
      <c r="I3" s="940"/>
      <c r="J3" s="940"/>
      <c r="K3" s="940"/>
      <c r="L3" s="940"/>
      <c r="M3" s="940"/>
      <c r="N3" s="940"/>
      <c r="O3" s="940"/>
      <c r="P3" s="940"/>
      <c r="Q3" s="940"/>
      <c r="R3" s="940"/>
      <c r="S3" s="940"/>
    </row>
    <row r="4" spans="1:21">
      <c r="A4" s="299"/>
      <c r="B4" s="285"/>
      <c r="C4" s="285"/>
      <c r="D4" s="285"/>
      <c r="E4" s="334"/>
      <c r="F4" s="284"/>
      <c r="G4" s="284"/>
      <c r="H4" s="286"/>
      <c r="I4" s="284"/>
      <c r="J4" s="287"/>
      <c r="K4" s="287"/>
      <c r="L4" s="287"/>
      <c r="M4" s="287"/>
      <c r="N4" s="287"/>
      <c r="O4" s="287"/>
      <c r="P4" s="287"/>
      <c r="Q4" s="287"/>
      <c r="R4" s="287"/>
      <c r="S4" s="288"/>
      <c r="T4" s="448" t="e">
        <v>#REF!</v>
      </c>
    </row>
    <row r="5" spans="1:21" ht="34.5" customHeight="1">
      <c r="A5" s="941" t="s">
        <v>4</v>
      </c>
      <c r="B5" s="941" t="s">
        <v>190</v>
      </c>
      <c r="C5" s="923" t="s">
        <v>507</v>
      </c>
      <c r="D5" s="941" t="s">
        <v>153</v>
      </c>
      <c r="E5" s="944" t="s">
        <v>191</v>
      </c>
      <c r="F5" s="923" t="s">
        <v>192</v>
      </c>
      <c r="G5" s="923" t="s">
        <v>193</v>
      </c>
      <c r="H5" s="945" t="s">
        <v>937</v>
      </c>
      <c r="I5" s="946"/>
      <c r="J5" s="946"/>
      <c r="K5" s="947"/>
      <c r="L5" s="954" t="s">
        <v>195</v>
      </c>
      <c r="M5" s="956"/>
      <c r="N5" s="955"/>
      <c r="O5" s="941" t="s">
        <v>196</v>
      </c>
      <c r="P5" s="634"/>
      <c r="Q5" s="634"/>
      <c r="R5" s="941" t="s">
        <v>941</v>
      </c>
      <c r="S5" s="919" t="s">
        <v>9</v>
      </c>
      <c r="T5" t="s">
        <v>586</v>
      </c>
    </row>
    <row r="6" spans="1:21" ht="15" customHeight="1">
      <c r="A6" s="942"/>
      <c r="B6" s="942"/>
      <c r="C6" s="923"/>
      <c r="D6" s="942"/>
      <c r="E6" s="944"/>
      <c r="F6" s="923"/>
      <c r="G6" s="923"/>
      <c r="H6" s="948"/>
      <c r="I6" s="949"/>
      <c r="J6" s="949"/>
      <c r="K6" s="950"/>
      <c r="L6" s="941" t="s">
        <v>161</v>
      </c>
      <c r="M6" s="954" t="s">
        <v>198</v>
      </c>
      <c r="N6" s="955"/>
      <c r="O6" s="942"/>
      <c r="P6" s="923" t="s">
        <v>198</v>
      </c>
      <c r="Q6" s="923"/>
      <c r="R6" s="942"/>
      <c r="S6" s="919"/>
      <c r="T6" t="s">
        <v>587</v>
      </c>
      <c r="U6" s="448" t="e">
        <f>U7+U8</f>
        <v>#REF!</v>
      </c>
    </row>
    <row r="7" spans="1:21">
      <c r="A7" s="942"/>
      <c r="B7" s="942"/>
      <c r="C7" s="923"/>
      <c r="D7" s="942"/>
      <c r="E7" s="944"/>
      <c r="F7" s="923"/>
      <c r="G7" s="923"/>
      <c r="H7" s="948"/>
      <c r="I7" s="949"/>
      <c r="J7" s="949"/>
      <c r="K7" s="950"/>
      <c r="L7" s="942"/>
      <c r="M7" s="941" t="s">
        <v>133</v>
      </c>
      <c r="N7" s="941" t="s">
        <v>199</v>
      </c>
      <c r="O7" s="942"/>
      <c r="P7" s="923" t="s">
        <v>133</v>
      </c>
      <c r="Q7" s="923" t="s">
        <v>199</v>
      </c>
      <c r="R7" s="942"/>
      <c r="S7" s="919"/>
      <c r="T7" t="s">
        <v>588</v>
      </c>
      <c r="U7" s="448" t="e">
        <v>#REF!</v>
      </c>
    </row>
    <row r="8" spans="1:21">
      <c r="A8" s="943"/>
      <c r="B8" s="943"/>
      <c r="C8" s="923"/>
      <c r="D8" s="943"/>
      <c r="E8" s="944"/>
      <c r="F8" s="923"/>
      <c r="G8" s="923"/>
      <c r="H8" s="951"/>
      <c r="I8" s="952"/>
      <c r="J8" s="952"/>
      <c r="K8" s="953"/>
      <c r="L8" s="943"/>
      <c r="M8" s="943"/>
      <c r="N8" s="943"/>
      <c r="O8" s="943"/>
      <c r="P8" s="923"/>
      <c r="Q8" s="923"/>
      <c r="R8" s="943"/>
      <c r="S8" s="919"/>
      <c r="T8" t="s">
        <v>589</v>
      </c>
      <c r="U8" s="448" t="e">
        <v>#REF!</v>
      </c>
    </row>
    <row r="9" spans="1:21">
      <c r="A9" s="289">
        <v>1</v>
      </c>
      <c r="B9" s="289">
        <v>2</v>
      </c>
      <c r="C9" s="290">
        <v>3</v>
      </c>
      <c r="D9" s="290"/>
      <c r="E9" s="335">
        <v>4</v>
      </c>
      <c r="F9" s="290">
        <v>5</v>
      </c>
      <c r="G9" s="290">
        <v>6</v>
      </c>
      <c r="H9" s="290">
        <v>7</v>
      </c>
      <c r="I9" s="290">
        <v>8</v>
      </c>
      <c r="J9" s="290">
        <v>9</v>
      </c>
      <c r="K9" s="290">
        <v>10</v>
      </c>
      <c r="L9" s="290">
        <v>11</v>
      </c>
      <c r="M9" s="290">
        <v>12</v>
      </c>
      <c r="N9" s="290">
        <v>13</v>
      </c>
      <c r="O9" s="290">
        <v>14</v>
      </c>
      <c r="P9" s="290">
        <v>15</v>
      </c>
      <c r="Q9" s="290">
        <v>16</v>
      </c>
      <c r="R9" s="290"/>
      <c r="S9" s="291">
        <v>17</v>
      </c>
    </row>
    <row r="10" spans="1:21" ht="22.5" customHeight="1">
      <c r="A10" s="524"/>
      <c r="B10" s="247" t="s">
        <v>138</v>
      </c>
      <c r="C10" s="551"/>
      <c r="D10" s="524"/>
      <c r="E10" s="525"/>
      <c r="F10" s="525"/>
      <c r="G10" s="524"/>
      <c r="H10" s="524"/>
      <c r="I10" s="568">
        <f>I11+I88</f>
        <v>16461903</v>
      </c>
      <c r="J10" s="568">
        <f t="shared" ref="J10:O10" si="0">J11+J88</f>
        <v>3974000</v>
      </c>
      <c r="K10" s="568">
        <f t="shared" si="0"/>
        <v>10828700</v>
      </c>
      <c r="L10" s="568">
        <f t="shared" si="0"/>
        <v>1144203</v>
      </c>
      <c r="M10" s="568">
        <f t="shared" si="0"/>
        <v>1144203</v>
      </c>
      <c r="N10" s="568">
        <f t="shared" si="0"/>
        <v>1144203</v>
      </c>
      <c r="O10" s="568">
        <f t="shared" si="0"/>
        <v>15297903</v>
      </c>
      <c r="P10" s="568" t="e">
        <f>P11+P88</f>
        <v>#REF!</v>
      </c>
      <c r="Q10" s="568" t="e">
        <f>Q11+Q88</f>
        <v>#REF!</v>
      </c>
      <c r="R10" s="568"/>
      <c r="S10" s="526"/>
      <c r="T10" s="570">
        <v>10914200</v>
      </c>
      <c r="U10" s="448" t="e">
        <v>#REF!</v>
      </c>
    </row>
    <row r="11" spans="1:21" ht="24" customHeight="1">
      <c r="A11" s="528" t="s">
        <v>20</v>
      </c>
      <c r="B11" s="529" t="s">
        <v>660</v>
      </c>
      <c r="C11" s="552"/>
      <c r="D11" s="528"/>
      <c r="E11" s="530"/>
      <c r="F11" s="530"/>
      <c r="G11" s="531"/>
      <c r="H11" s="528"/>
      <c r="I11" s="569">
        <f>I12+I50+I53+I58+I61+I64+I71+I74+I85</f>
        <v>13621403</v>
      </c>
      <c r="J11" s="569">
        <f t="shared" ref="J11:O11" si="1">J12+J50+J53+J58+J61+J64+J71+J74+J85</f>
        <v>3974000</v>
      </c>
      <c r="K11" s="569">
        <f t="shared" si="1"/>
        <v>8503200</v>
      </c>
      <c r="L11" s="569">
        <f t="shared" si="1"/>
        <v>1144203</v>
      </c>
      <c r="M11" s="569">
        <f t="shared" si="1"/>
        <v>1144203</v>
      </c>
      <c r="N11" s="569">
        <f t="shared" si="1"/>
        <v>1144203</v>
      </c>
      <c r="O11" s="569">
        <f t="shared" si="1"/>
        <v>12477403</v>
      </c>
      <c r="P11" s="569" t="e">
        <f>P12+P50+P53+P58+P61+P64+P71+P74</f>
        <v>#REF!</v>
      </c>
      <c r="Q11" s="569" t="e">
        <f>Q12+Q50+Q53+Q58+Q61+Q64+Q71+Q74</f>
        <v>#REF!</v>
      </c>
      <c r="R11" s="569"/>
      <c r="S11" s="532"/>
      <c r="T11" s="448" t="e">
        <f>T10-P10</f>
        <v>#REF!</v>
      </c>
    </row>
    <row r="12" spans="1:21" s="297" customFormat="1" ht="30" customHeight="1" collapsed="1">
      <c r="A12" s="527">
        <v>1</v>
      </c>
      <c r="B12" s="298" t="s">
        <v>172</v>
      </c>
      <c r="C12" s="394"/>
      <c r="D12" s="343"/>
      <c r="E12" s="344"/>
      <c r="F12" s="344"/>
      <c r="G12" s="394"/>
      <c r="H12" s="343"/>
      <c r="I12" s="533">
        <f>I13+I17</f>
        <v>8508500</v>
      </c>
      <c r="J12" s="533">
        <f t="shared" ref="J12:Q12" si="2">J13+J17</f>
        <v>3974000</v>
      </c>
      <c r="K12" s="533">
        <f t="shared" si="2"/>
        <v>4534500</v>
      </c>
      <c r="L12" s="533">
        <f t="shared" si="2"/>
        <v>0</v>
      </c>
      <c r="M12" s="533">
        <f t="shared" si="2"/>
        <v>0</v>
      </c>
      <c r="N12" s="533">
        <f t="shared" si="2"/>
        <v>0</v>
      </c>
      <c r="O12" s="533">
        <f t="shared" si="2"/>
        <v>7444500</v>
      </c>
      <c r="P12" s="533">
        <f t="shared" si="2"/>
        <v>677200</v>
      </c>
      <c r="Q12" s="533">
        <f t="shared" si="2"/>
        <v>7661300</v>
      </c>
      <c r="R12" s="533"/>
      <c r="S12" s="343"/>
      <c r="T12" s="320">
        <v>6014050</v>
      </c>
      <c r="U12" s="320">
        <v>20020970</v>
      </c>
    </row>
    <row r="13" spans="1:21" s="297" customFormat="1" ht="22.5" customHeight="1" outlineLevel="1">
      <c r="A13" s="323" t="s">
        <v>510</v>
      </c>
      <c r="B13" s="281" t="s">
        <v>302</v>
      </c>
      <c r="C13" s="393"/>
      <c r="D13" s="324"/>
      <c r="E13" s="339"/>
      <c r="F13" s="339"/>
      <c r="G13" s="393"/>
      <c r="H13" s="324"/>
      <c r="I13" s="345">
        <f>SUM(I14:I16)</f>
        <v>3750000</v>
      </c>
      <c r="J13" s="345">
        <f t="shared" ref="J13:Q13" si="3">SUM(J14:J16)</f>
        <v>2500000</v>
      </c>
      <c r="K13" s="345">
        <f t="shared" si="3"/>
        <v>1250000</v>
      </c>
      <c r="L13" s="345">
        <f t="shared" si="3"/>
        <v>0</v>
      </c>
      <c r="M13" s="345">
        <f t="shared" si="3"/>
        <v>0</v>
      </c>
      <c r="N13" s="345">
        <f t="shared" si="3"/>
        <v>0</v>
      </c>
      <c r="O13" s="345">
        <f>SUM(O14:O16)</f>
        <v>3580000</v>
      </c>
      <c r="P13" s="345">
        <f t="shared" si="3"/>
        <v>0</v>
      </c>
      <c r="Q13" s="345">
        <f t="shared" si="3"/>
        <v>3580000</v>
      </c>
      <c r="R13" s="345"/>
      <c r="S13" s="376"/>
      <c r="T13" s="320"/>
      <c r="U13" s="320">
        <f>U12-T12</f>
        <v>14006920</v>
      </c>
    </row>
    <row r="14" spans="1:21" s="297" customFormat="1" ht="63.75" outlineLevel="2">
      <c r="A14" s="254">
        <v>1</v>
      </c>
      <c r="B14" s="255" t="s">
        <v>599</v>
      </c>
      <c r="C14" s="553" t="s">
        <v>293</v>
      </c>
      <c r="D14" s="293" t="s">
        <v>101</v>
      </c>
      <c r="E14" s="337" t="s">
        <v>435</v>
      </c>
      <c r="F14" s="337" t="s">
        <v>600</v>
      </c>
      <c r="G14" s="263" t="s">
        <v>211</v>
      </c>
      <c r="H14" s="293"/>
      <c r="I14" s="347">
        <v>250000</v>
      </c>
      <c r="J14" s="347"/>
      <c r="K14" s="347">
        <v>250000</v>
      </c>
      <c r="L14" s="347"/>
      <c r="M14" s="347"/>
      <c r="N14" s="347"/>
      <c r="O14" s="347">
        <v>250000</v>
      </c>
      <c r="P14" s="347"/>
      <c r="Q14" s="347">
        <v>250000</v>
      </c>
      <c r="R14" s="636" t="s">
        <v>938</v>
      </c>
      <c r="S14" s="636" t="s">
        <v>938</v>
      </c>
      <c r="T14" s="477" t="s">
        <v>601</v>
      </c>
    </row>
    <row r="15" spans="1:21" s="297" customFormat="1" ht="136.5" customHeight="1" outlineLevel="2">
      <c r="A15" s="254">
        <f>MAX(A$14:$A14)+1</f>
        <v>2</v>
      </c>
      <c r="B15" s="356" t="s">
        <v>324</v>
      </c>
      <c r="C15" s="554" t="s">
        <v>293</v>
      </c>
      <c r="D15" s="357" t="s">
        <v>101</v>
      </c>
      <c r="E15" s="359" t="s">
        <v>325</v>
      </c>
      <c r="F15" s="468" t="s">
        <v>326</v>
      </c>
      <c r="G15" s="392" t="s">
        <v>300</v>
      </c>
      <c r="H15" s="360"/>
      <c r="I15" s="353">
        <f>+J15+K15</f>
        <v>1000000</v>
      </c>
      <c r="J15" s="353"/>
      <c r="K15" s="353">
        <v>1000000</v>
      </c>
      <c r="L15" s="353"/>
      <c r="M15" s="353"/>
      <c r="N15" s="353"/>
      <c r="O15" s="347">
        <f>P15+Q15</f>
        <v>950000</v>
      </c>
      <c r="P15" s="355"/>
      <c r="Q15" s="354">
        <f>ROUND(K15*0.95,-4)</f>
        <v>950000</v>
      </c>
      <c r="R15" s="637" t="s">
        <v>939</v>
      </c>
      <c r="S15" s="637" t="s">
        <v>939</v>
      </c>
      <c r="T15" s="607" t="s">
        <v>889</v>
      </c>
    </row>
    <row r="16" spans="1:21" s="297" customFormat="1" ht="51" outlineLevel="2">
      <c r="A16" s="254">
        <f>MAX(A$14:$A15)+1</f>
        <v>3</v>
      </c>
      <c r="B16" s="361" t="s">
        <v>340</v>
      </c>
      <c r="C16" s="554" t="s">
        <v>293</v>
      </c>
      <c r="D16" s="349" t="s">
        <v>20</v>
      </c>
      <c r="E16" s="359" t="s">
        <v>341</v>
      </c>
      <c r="F16" s="337" t="s">
        <v>342</v>
      </c>
      <c r="G16" s="391" t="s">
        <v>300</v>
      </c>
      <c r="H16" s="349"/>
      <c r="I16" s="352">
        <v>2500000</v>
      </c>
      <c r="J16" s="353">
        <v>2500000</v>
      </c>
      <c r="K16" s="355"/>
      <c r="L16" s="355"/>
      <c r="M16" s="355"/>
      <c r="N16" s="355"/>
      <c r="O16" s="516">
        <f>P16+Q16</f>
        <v>2380000</v>
      </c>
      <c r="P16" s="353"/>
      <c r="Q16" s="354">
        <v>2380000</v>
      </c>
      <c r="R16" s="637" t="s">
        <v>940</v>
      </c>
      <c r="S16" s="637" t="s">
        <v>940</v>
      </c>
      <c r="T16" s="331"/>
    </row>
    <row r="17" spans="1:21" s="297" customFormat="1" ht="28.5" outlineLevel="1">
      <c r="A17" s="323" t="s">
        <v>511</v>
      </c>
      <c r="B17" s="281" t="s">
        <v>344</v>
      </c>
      <c r="C17" s="393"/>
      <c r="D17" s="324"/>
      <c r="E17" s="339"/>
      <c r="F17" s="339"/>
      <c r="G17" s="393"/>
      <c r="H17" s="324"/>
      <c r="I17" s="345">
        <f>SUM(I18:I49)</f>
        <v>4758500</v>
      </c>
      <c r="J17" s="345">
        <f t="shared" ref="J17:Q17" si="4">SUM(J18:J49)</f>
        <v>1474000</v>
      </c>
      <c r="K17" s="345">
        <f t="shared" si="4"/>
        <v>3284500</v>
      </c>
      <c r="L17" s="345">
        <f t="shared" si="4"/>
        <v>0</v>
      </c>
      <c r="M17" s="345">
        <f t="shared" si="4"/>
        <v>0</v>
      </c>
      <c r="N17" s="345">
        <f t="shared" si="4"/>
        <v>0</v>
      </c>
      <c r="O17" s="345">
        <f>SUM(O18:O49)</f>
        <v>3864500</v>
      </c>
      <c r="P17" s="345">
        <f t="shared" si="4"/>
        <v>677200</v>
      </c>
      <c r="Q17" s="345">
        <f t="shared" si="4"/>
        <v>4081300</v>
      </c>
      <c r="R17" s="345"/>
      <c r="S17" s="376"/>
      <c r="T17" s="320"/>
      <c r="U17" s="320"/>
    </row>
    <row r="18" spans="1:21" s="297" customFormat="1" ht="150" outlineLevel="2">
      <c r="A18" s="254">
        <f>MAX(A$14:$A17)+1</f>
        <v>4</v>
      </c>
      <c r="B18" s="361" t="s">
        <v>936</v>
      </c>
      <c r="C18" s="635" t="s">
        <v>594</v>
      </c>
      <c r="D18" s="349" t="s">
        <v>101</v>
      </c>
      <c r="E18" s="359" t="s">
        <v>354</v>
      </c>
      <c r="F18" s="337" t="s">
        <v>355</v>
      </c>
      <c r="G18" s="391">
        <v>2026</v>
      </c>
      <c r="H18" s="349" t="s">
        <v>356</v>
      </c>
      <c r="I18" s="352">
        <v>438000</v>
      </c>
      <c r="J18" s="353"/>
      <c r="K18" s="355">
        <v>438000</v>
      </c>
      <c r="L18" s="355"/>
      <c r="M18" s="355"/>
      <c r="N18" s="355"/>
      <c r="O18" s="516">
        <v>438000</v>
      </c>
      <c r="P18" s="353"/>
      <c r="Q18" s="354">
        <v>438000</v>
      </c>
      <c r="R18" s="354"/>
      <c r="S18" s="776" t="s">
        <v>1007</v>
      </c>
      <c r="T18" s="331"/>
    </row>
    <row r="19" spans="1:21" s="297" customFormat="1" ht="74.45" customHeight="1" outlineLevel="2">
      <c r="A19" s="254">
        <f>MAX(A$14:$A18)+1</f>
        <v>5</v>
      </c>
      <c r="B19" s="355" t="s">
        <v>934</v>
      </c>
      <c r="C19" s="556" t="s">
        <v>935</v>
      </c>
      <c r="D19" s="349" t="s">
        <v>101</v>
      </c>
      <c r="E19" s="358" t="s">
        <v>378</v>
      </c>
      <c r="F19" s="358" t="s">
        <v>379</v>
      </c>
      <c r="G19" s="391" t="s">
        <v>300</v>
      </c>
      <c r="H19" s="368"/>
      <c r="I19" s="543">
        <f>338000-150000</f>
        <v>188000</v>
      </c>
      <c r="J19" s="548"/>
      <c r="K19" s="543">
        <v>188000</v>
      </c>
      <c r="L19" s="549"/>
      <c r="M19" s="549"/>
      <c r="N19" s="549"/>
      <c r="O19" s="543">
        <v>188000</v>
      </c>
      <c r="P19" s="548"/>
      <c r="Q19" s="543">
        <v>188000</v>
      </c>
      <c r="R19" s="543"/>
      <c r="S19" s="776" t="s">
        <v>1005</v>
      </c>
      <c r="T19" s="333"/>
      <c r="U19" s="297" t="s">
        <v>598</v>
      </c>
    </row>
    <row r="20" spans="1:21" s="297" customFormat="1" ht="30" outlineLevel="2">
      <c r="A20" s="254">
        <f>MAX(A$14:$A19)+1</f>
        <v>6</v>
      </c>
      <c r="B20" s="355" t="s">
        <v>380</v>
      </c>
      <c r="C20" s="391" t="s">
        <v>293</v>
      </c>
      <c r="D20" s="349" t="s">
        <v>101</v>
      </c>
      <c r="E20" s="358" t="s">
        <v>381</v>
      </c>
      <c r="F20" s="358" t="s">
        <v>382</v>
      </c>
      <c r="G20" s="391" t="s">
        <v>300</v>
      </c>
      <c r="H20" s="368"/>
      <c r="I20" s="543">
        <v>390000</v>
      </c>
      <c r="J20" s="548"/>
      <c r="K20" s="543">
        <v>390000</v>
      </c>
      <c r="L20" s="549"/>
      <c r="M20" s="549"/>
      <c r="N20" s="549"/>
      <c r="O20" s="543">
        <v>390000</v>
      </c>
      <c r="P20" s="548"/>
      <c r="Q20" s="543">
        <v>390000</v>
      </c>
      <c r="R20" s="543"/>
      <c r="S20" s="776" t="s">
        <v>1005</v>
      </c>
      <c r="T20" s="333"/>
    </row>
    <row r="21" spans="1:21" s="297" customFormat="1" ht="30" outlineLevel="2">
      <c r="A21" s="254">
        <f>MAX(A$14:$A20)+1</f>
        <v>7</v>
      </c>
      <c r="B21" s="355" t="s">
        <v>383</v>
      </c>
      <c r="C21" s="391" t="s">
        <v>293</v>
      </c>
      <c r="D21" s="349" t="s">
        <v>173</v>
      </c>
      <c r="E21" s="358" t="s">
        <v>384</v>
      </c>
      <c r="F21" s="358" t="s">
        <v>385</v>
      </c>
      <c r="G21" s="391" t="s">
        <v>300</v>
      </c>
      <c r="H21" s="349"/>
      <c r="I21" s="543">
        <v>26000</v>
      </c>
      <c r="J21" s="543">
        <v>0</v>
      </c>
      <c r="K21" s="543">
        <v>26000</v>
      </c>
      <c r="L21" s="543"/>
      <c r="M21" s="543"/>
      <c r="N21" s="543"/>
      <c r="O21" s="543">
        <v>26000</v>
      </c>
      <c r="P21" s="543">
        <v>0</v>
      </c>
      <c r="Q21" s="543">
        <v>26000</v>
      </c>
      <c r="R21" s="543"/>
      <c r="S21" s="776" t="s">
        <v>1005</v>
      </c>
      <c r="T21" s="333"/>
    </row>
    <row r="22" spans="1:21" s="297" customFormat="1" ht="30" outlineLevel="2">
      <c r="A22" s="254">
        <f>MAX(A$14:$A21)+1</f>
        <v>8</v>
      </c>
      <c r="B22" s="355" t="s">
        <v>386</v>
      </c>
      <c r="C22" s="391" t="s">
        <v>293</v>
      </c>
      <c r="D22" s="349" t="s">
        <v>173</v>
      </c>
      <c r="E22" s="358" t="s">
        <v>387</v>
      </c>
      <c r="F22" s="358" t="s">
        <v>388</v>
      </c>
      <c r="G22" s="391" t="s">
        <v>300</v>
      </c>
      <c r="H22" s="349"/>
      <c r="I22" s="543">
        <v>23000</v>
      </c>
      <c r="J22" s="543">
        <v>0</v>
      </c>
      <c r="K22" s="543">
        <v>23000</v>
      </c>
      <c r="L22" s="543"/>
      <c r="M22" s="543"/>
      <c r="N22" s="543"/>
      <c r="O22" s="543">
        <v>23000</v>
      </c>
      <c r="P22" s="543">
        <v>0</v>
      </c>
      <c r="Q22" s="543">
        <v>23000</v>
      </c>
      <c r="R22" s="543"/>
      <c r="S22" s="776" t="s">
        <v>1005</v>
      </c>
      <c r="T22" s="333"/>
    </row>
    <row r="23" spans="1:21" s="297" customFormat="1" ht="30" outlineLevel="2">
      <c r="A23" s="254">
        <f>MAX(A$14:$A22)+1</f>
        <v>9</v>
      </c>
      <c r="B23" s="355" t="s">
        <v>389</v>
      </c>
      <c r="C23" s="391" t="s">
        <v>293</v>
      </c>
      <c r="D23" s="349" t="s">
        <v>101</v>
      </c>
      <c r="E23" s="358" t="s">
        <v>390</v>
      </c>
      <c r="F23" s="358" t="s">
        <v>391</v>
      </c>
      <c r="G23" s="391" t="s">
        <v>300</v>
      </c>
      <c r="H23" s="349"/>
      <c r="I23" s="543">
        <v>100000</v>
      </c>
      <c r="J23" s="543"/>
      <c r="K23" s="543">
        <v>100000</v>
      </c>
      <c r="L23" s="543"/>
      <c r="M23" s="543"/>
      <c r="N23" s="543"/>
      <c r="O23" s="543">
        <v>100000</v>
      </c>
      <c r="P23" s="543"/>
      <c r="Q23" s="543">
        <v>100000</v>
      </c>
      <c r="R23" s="543"/>
      <c r="S23" s="776" t="s">
        <v>1005</v>
      </c>
      <c r="T23" s="333"/>
    </row>
    <row r="24" spans="1:21" s="297" customFormat="1" ht="25.5" outlineLevel="2">
      <c r="A24" s="254">
        <f>MAX(A$14:$A23)+1</f>
        <v>10</v>
      </c>
      <c r="B24" s="369" t="s">
        <v>392</v>
      </c>
      <c r="C24" s="391" t="s">
        <v>293</v>
      </c>
      <c r="D24" s="349" t="s">
        <v>173</v>
      </c>
      <c r="E24" s="358" t="s">
        <v>393</v>
      </c>
      <c r="F24" s="358" t="s">
        <v>394</v>
      </c>
      <c r="G24" s="391" t="s">
        <v>300</v>
      </c>
      <c r="H24" s="349"/>
      <c r="I24" s="543">
        <v>125000</v>
      </c>
      <c r="J24" s="544"/>
      <c r="K24" s="550">
        <v>125000</v>
      </c>
      <c r="L24" s="544"/>
      <c r="M24" s="544"/>
      <c r="N24" s="544"/>
      <c r="O24" s="543">
        <v>125000</v>
      </c>
      <c r="P24" s="543"/>
      <c r="Q24" s="353">
        <v>125000</v>
      </c>
      <c r="R24" s="353"/>
      <c r="S24" s="776" t="s">
        <v>1005</v>
      </c>
      <c r="T24" s="333"/>
    </row>
    <row r="25" spans="1:21" s="297" customFormat="1" ht="30" outlineLevel="2">
      <c r="A25" s="254">
        <f>MAX(A$14:$A24)+1</f>
        <v>11</v>
      </c>
      <c r="B25" s="355" t="s">
        <v>396</v>
      </c>
      <c r="C25" s="391" t="s">
        <v>293</v>
      </c>
      <c r="D25" s="349" t="s">
        <v>173</v>
      </c>
      <c r="E25" s="370" t="s">
        <v>397</v>
      </c>
      <c r="F25" s="358" t="s">
        <v>398</v>
      </c>
      <c r="G25" s="391">
        <v>2028</v>
      </c>
      <c r="H25" s="371"/>
      <c r="I25" s="543">
        <v>45000</v>
      </c>
      <c r="J25" s="544"/>
      <c r="K25" s="550">
        <v>45000</v>
      </c>
      <c r="L25" s="544"/>
      <c r="M25" s="544"/>
      <c r="N25" s="544"/>
      <c r="O25" s="543">
        <v>45000</v>
      </c>
      <c r="P25" s="548">
        <v>0</v>
      </c>
      <c r="Q25" s="353">
        <v>45000</v>
      </c>
      <c r="R25" s="353"/>
      <c r="S25" s="776" t="s">
        <v>1005</v>
      </c>
      <c r="T25" s="333"/>
    </row>
    <row r="26" spans="1:21" s="297" customFormat="1" ht="75" outlineLevel="2">
      <c r="A26" s="254">
        <f>MAX(A$14:$A25)+1</f>
        <v>12</v>
      </c>
      <c r="B26" s="356" t="s">
        <v>399</v>
      </c>
      <c r="C26" s="554" t="s">
        <v>293</v>
      </c>
      <c r="D26" s="349" t="s">
        <v>173</v>
      </c>
      <c r="E26" s="359" t="s">
        <v>400</v>
      </c>
      <c r="F26" s="359" t="s">
        <v>401</v>
      </c>
      <c r="G26" s="391" t="s">
        <v>211</v>
      </c>
      <c r="H26" s="355"/>
      <c r="I26" s="543">
        <v>55000</v>
      </c>
      <c r="J26" s="543"/>
      <c r="K26" s="543">
        <v>55000</v>
      </c>
      <c r="L26" s="543"/>
      <c r="M26" s="543"/>
      <c r="N26" s="543"/>
      <c r="O26" s="543">
        <v>55000</v>
      </c>
      <c r="P26" s="543"/>
      <c r="Q26" s="543">
        <v>55000</v>
      </c>
      <c r="R26" s="543"/>
      <c r="S26" s="776" t="s">
        <v>1005</v>
      </c>
      <c r="T26" s="396" t="s">
        <v>403</v>
      </c>
    </row>
    <row r="27" spans="1:21" s="297" customFormat="1" ht="62.25" customHeight="1" outlineLevel="2">
      <c r="A27" s="254">
        <f>MAX(A$14:$A26)+1</f>
        <v>13</v>
      </c>
      <c r="B27" s="356" t="s">
        <v>404</v>
      </c>
      <c r="C27" s="554" t="s">
        <v>293</v>
      </c>
      <c r="D27" s="357" t="s">
        <v>101</v>
      </c>
      <c r="E27" s="359" t="s">
        <v>405</v>
      </c>
      <c r="F27" s="359" t="s">
        <v>406</v>
      </c>
      <c r="G27" s="391" t="s">
        <v>300</v>
      </c>
      <c r="H27" s="355"/>
      <c r="I27" s="543">
        <f>J27</f>
        <v>894000</v>
      </c>
      <c r="J27" s="543">
        <v>894000</v>
      </c>
      <c r="K27" s="543"/>
      <c r="L27" s="543"/>
      <c r="M27" s="543"/>
      <c r="N27" s="543"/>
      <c r="O27" s="543">
        <f>P27</f>
        <v>0</v>
      </c>
      <c r="P27" s="543"/>
      <c r="Q27" s="543">
        <v>894000</v>
      </c>
      <c r="R27" s="543"/>
      <c r="S27" s="776" t="s">
        <v>1005</v>
      </c>
      <c r="T27" s="396" t="s">
        <v>403</v>
      </c>
    </row>
    <row r="28" spans="1:21" s="297" customFormat="1" ht="30" outlineLevel="2">
      <c r="A28" s="254">
        <f>MAX(A$14:$A27)+1</f>
        <v>14</v>
      </c>
      <c r="B28" s="355" t="s">
        <v>414</v>
      </c>
      <c r="C28" s="554" t="s">
        <v>293</v>
      </c>
      <c r="D28" s="349" t="s">
        <v>173</v>
      </c>
      <c r="E28" s="358" t="s">
        <v>415</v>
      </c>
      <c r="F28" s="358" t="s">
        <v>416</v>
      </c>
      <c r="G28" s="391" t="s">
        <v>330</v>
      </c>
      <c r="H28" s="349"/>
      <c r="I28" s="543">
        <f t="shared" ref="I28:I49" si="5">+J28+K28</f>
        <v>20000</v>
      </c>
      <c r="J28" s="543">
        <v>20000</v>
      </c>
      <c r="K28" s="543">
        <v>0</v>
      </c>
      <c r="L28" s="543"/>
      <c r="M28" s="543"/>
      <c r="N28" s="543"/>
      <c r="O28" s="543">
        <f>+Q28+P28</f>
        <v>20000</v>
      </c>
      <c r="P28" s="543"/>
      <c r="Q28" s="543">
        <v>20000</v>
      </c>
      <c r="R28" s="543"/>
      <c r="S28" s="776" t="s">
        <v>1005</v>
      </c>
      <c r="T28" s="403"/>
    </row>
    <row r="29" spans="1:21" s="297" customFormat="1" ht="48" outlineLevel="2">
      <c r="A29" s="254">
        <f>MAX(A$14:$A28)+1</f>
        <v>15</v>
      </c>
      <c r="B29" s="355" t="s">
        <v>418</v>
      </c>
      <c r="C29" s="554" t="s">
        <v>293</v>
      </c>
      <c r="D29" s="349" t="s">
        <v>101</v>
      </c>
      <c r="E29" s="358" t="s">
        <v>419</v>
      </c>
      <c r="F29" s="358" t="s">
        <v>420</v>
      </c>
      <c r="G29" s="391" t="s">
        <v>330</v>
      </c>
      <c r="H29" s="349"/>
      <c r="I29" s="543">
        <f t="shared" si="5"/>
        <v>192200</v>
      </c>
      <c r="J29" s="543"/>
      <c r="K29" s="543">
        <v>192200</v>
      </c>
      <c r="L29" s="543"/>
      <c r="M29" s="543"/>
      <c r="N29" s="543"/>
      <c r="O29" s="543">
        <f>+Q29+P29</f>
        <v>192200</v>
      </c>
      <c r="P29" s="543">
        <v>192200</v>
      </c>
      <c r="Q29" s="543"/>
      <c r="R29" s="543"/>
      <c r="S29" s="776" t="s">
        <v>1005</v>
      </c>
      <c r="T29" s="404"/>
    </row>
    <row r="30" spans="1:21" s="297" customFormat="1" ht="30" outlineLevel="2">
      <c r="A30" s="254">
        <f>MAX(A$14:$A29)+1</f>
        <v>16</v>
      </c>
      <c r="B30" s="401" t="s">
        <v>422</v>
      </c>
      <c r="C30" s="554" t="s">
        <v>293</v>
      </c>
      <c r="D30" s="349" t="s">
        <v>173</v>
      </c>
      <c r="E30" s="358" t="s">
        <v>423</v>
      </c>
      <c r="F30" s="358" t="s">
        <v>420</v>
      </c>
      <c r="G30" s="391" t="s">
        <v>424</v>
      </c>
      <c r="H30" s="349"/>
      <c r="I30" s="543">
        <f t="shared" si="5"/>
        <v>70000</v>
      </c>
      <c r="J30" s="543"/>
      <c r="K30" s="543">
        <v>70000</v>
      </c>
      <c r="L30" s="543"/>
      <c r="M30" s="543"/>
      <c r="N30" s="543"/>
      <c r="O30" s="543">
        <f>+Q30+P30</f>
        <v>70000</v>
      </c>
      <c r="P30" s="543"/>
      <c r="Q30" s="543">
        <v>70000</v>
      </c>
      <c r="R30" s="543"/>
      <c r="S30" s="776" t="s">
        <v>1005</v>
      </c>
      <c r="T30" s="404"/>
    </row>
    <row r="31" spans="1:21" s="297" customFormat="1" ht="30" outlineLevel="2">
      <c r="A31" s="254">
        <f>MAX(A$14:$A30)+1</f>
        <v>17</v>
      </c>
      <c r="B31" s="369" t="s">
        <v>425</v>
      </c>
      <c r="C31" s="554" t="s">
        <v>293</v>
      </c>
      <c r="D31" s="349" t="s">
        <v>101</v>
      </c>
      <c r="E31" s="358" t="s">
        <v>426</v>
      </c>
      <c r="F31" s="358" t="s">
        <v>427</v>
      </c>
      <c r="G31" s="391" t="s">
        <v>428</v>
      </c>
      <c r="H31" s="349"/>
      <c r="I31" s="543">
        <f t="shared" si="5"/>
        <v>80000</v>
      </c>
      <c r="J31" s="543">
        <f>15000+65000</f>
        <v>80000</v>
      </c>
      <c r="K31" s="543"/>
      <c r="L31" s="543"/>
      <c r="M31" s="543"/>
      <c r="N31" s="543"/>
      <c r="O31" s="543">
        <f>+Q31+P31</f>
        <v>80000</v>
      </c>
      <c r="P31" s="543">
        <f>15000+65000</f>
        <v>80000</v>
      </c>
      <c r="Q31" s="543"/>
      <c r="R31" s="543"/>
      <c r="S31" s="776" t="s">
        <v>1005</v>
      </c>
      <c r="T31" s="403"/>
    </row>
    <row r="32" spans="1:21" s="297" customFormat="1" ht="48" outlineLevel="2">
      <c r="A32" s="254">
        <f>MAX(A$14:$A31)+1</f>
        <v>18</v>
      </c>
      <c r="B32" s="369" t="s">
        <v>430</v>
      </c>
      <c r="C32" s="554" t="s">
        <v>293</v>
      </c>
      <c r="D32" s="349" t="s">
        <v>101</v>
      </c>
      <c r="E32" s="358" t="s">
        <v>431</v>
      </c>
      <c r="F32" s="358" t="s">
        <v>432</v>
      </c>
      <c r="G32" s="391" t="s">
        <v>428</v>
      </c>
      <c r="H32" s="349"/>
      <c r="I32" s="543">
        <f t="shared" si="5"/>
        <v>85000</v>
      </c>
      <c r="J32" s="543">
        <f>40000+45000</f>
        <v>85000</v>
      </c>
      <c r="K32" s="543"/>
      <c r="L32" s="543"/>
      <c r="M32" s="543"/>
      <c r="N32" s="543"/>
      <c r="O32" s="543">
        <f>+Q32+P32</f>
        <v>85000</v>
      </c>
      <c r="P32" s="543">
        <f>40000+45000</f>
        <v>85000</v>
      </c>
      <c r="Q32" s="543"/>
      <c r="R32" s="543"/>
      <c r="S32" s="776" t="s">
        <v>1005</v>
      </c>
      <c r="T32" s="403"/>
    </row>
    <row r="33" spans="1:20" s="297" customFormat="1" ht="60" outlineLevel="2">
      <c r="A33" s="254">
        <f>MAX(A$14:$A32)+1</f>
        <v>19</v>
      </c>
      <c r="B33" s="355" t="s">
        <v>434</v>
      </c>
      <c r="C33" s="763" t="s">
        <v>293</v>
      </c>
      <c r="D33" s="349" t="s">
        <v>101</v>
      </c>
      <c r="E33" s="380" t="s">
        <v>435</v>
      </c>
      <c r="F33" s="358" t="s">
        <v>420</v>
      </c>
      <c r="G33" s="391" t="s">
        <v>300</v>
      </c>
      <c r="H33" s="349"/>
      <c r="I33" s="543">
        <f t="shared" si="5"/>
        <v>40000</v>
      </c>
      <c r="J33" s="543">
        <v>40000</v>
      </c>
      <c r="K33" s="543"/>
      <c r="L33" s="543"/>
      <c r="M33" s="543"/>
      <c r="N33" s="543"/>
      <c r="O33" s="543">
        <v>40000</v>
      </c>
      <c r="P33" s="543"/>
      <c r="Q33" s="543">
        <v>40000</v>
      </c>
      <c r="R33" s="543"/>
      <c r="S33" s="776" t="s">
        <v>1005</v>
      </c>
      <c r="T33" s="405"/>
    </row>
    <row r="34" spans="1:20" s="297" customFormat="1" ht="51" outlineLevel="2">
      <c r="A34" s="254">
        <f>MAX(A$14:$A33)+1</f>
        <v>20</v>
      </c>
      <c r="B34" s="369" t="s">
        <v>436</v>
      </c>
      <c r="C34" s="591" t="s">
        <v>594</v>
      </c>
      <c r="D34" s="349" t="s">
        <v>101</v>
      </c>
      <c r="E34" s="380" t="s">
        <v>435</v>
      </c>
      <c r="F34" s="358" t="s">
        <v>420</v>
      </c>
      <c r="G34" s="391" t="s">
        <v>300</v>
      </c>
      <c r="H34" s="349"/>
      <c r="I34" s="543">
        <f t="shared" si="5"/>
        <v>280000</v>
      </c>
      <c r="J34" s="543"/>
      <c r="K34" s="543">
        <v>280000</v>
      </c>
      <c r="L34" s="543"/>
      <c r="M34" s="543"/>
      <c r="N34" s="543"/>
      <c r="O34" s="543">
        <v>280000</v>
      </c>
      <c r="P34" s="543"/>
      <c r="Q34" s="543">
        <v>280000</v>
      </c>
      <c r="R34" s="543"/>
      <c r="S34" s="776" t="s">
        <v>1007</v>
      </c>
      <c r="T34" s="405"/>
    </row>
    <row r="35" spans="1:20" s="297" customFormat="1" ht="51" outlineLevel="2">
      <c r="A35" s="254">
        <f>MAX(A$14:$A34)+1</f>
        <v>21</v>
      </c>
      <c r="B35" s="369" t="s">
        <v>437</v>
      </c>
      <c r="C35" s="591" t="s">
        <v>594</v>
      </c>
      <c r="D35" s="349" t="s">
        <v>101</v>
      </c>
      <c r="E35" s="380" t="s">
        <v>438</v>
      </c>
      <c r="F35" s="358" t="s">
        <v>420</v>
      </c>
      <c r="G35" s="391" t="s">
        <v>300</v>
      </c>
      <c r="H35" s="349"/>
      <c r="I35" s="543">
        <v>641300</v>
      </c>
      <c r="J35" s="543"/>
      <c r="K35" s="543">
        <v>641300</v>
      </c>
      <c r="L35" s="543"/>
      <c r="M35" s="543"/>
      <c r="N35" s="543"/>
      <c r="O35" s="543">
        <v>641300</v>
      </c>
      <c r="P35" s="543"/>
      <c r="Q35" s="543">
        <v>641300</v>
      </c>
      <c r="R35" s="543"/>
      <c r="S35" s="776" t="s">
        <v>1006</v>
      </c>
      <c r="T35" s="406"/>
    </row>
    <row r="36" spans="1:20" s="297" customFormat="1" ht="30" outlineLevel="2">
      <c r="A36" s="254">
        <f>MAX(A$14:$A35)+1</f>
        <v>22</v>
      </c>
      <c r="B36" s="355" t="s">
        <v>439</v>
      </c>
      <c r="C36" s="763" t="s">
        <v>293</v>
      </c>
      <c r="D36" s="349" t="s">
        <v>173</v>
      </c>
      <c r="E36" s="358" t="s">
        <v>440</v>
      </c>
      <c r="F36" s="358" t="s">
        <v>420</v>
      </c>
      <c r="G36" s="391" t="s">
        <v>330</v>
      </c>
      <c r="H36" s="349"/>
      <c r="I36" s="543">
        <f t="shared" si="5"/>
        <v>50000</v>
      </c>
      <c r="J36" s="543">
        <v>50000</v>
      </c>
      <c r="K36" s="543"/>
      <c r="L36" s="543"/>
      <c r="M36" s="543"/>
      <c r="N36" s="543"/>
      <c r="O36" s="543">
        <v>50000</v>
      </c>
      <c r="P36" s="543"/>
      <c r="Q36" s="543">
        <v>50000</v>
      </c>
      <c r="R36" s="543"/>
      <c r="S36" s="776" t="s">
        <v>1005</v>
      </c>
      <c r="T36" s="405"/>
    </row>
    <row r="37" spans="1:20" s="297" customFormat="1" ht="48" outlineLevel="2">
      <c r="A37" s="254">
        <f>MAX(A$14:$A36)+1</f>
        <v>23</v>
      </c>
      <c r="B37" s="369" t="s">
        <v>441</v>
      </c>
      <c r="C37" s="763" t="s">
        <v>293</v>
      </c>
      <c r="D37" s="349" t="s">
        <v>173</v>
      </c>
      <c r="E37" s="358" t="s">
        <v>442</v>
      </c>
      <c r="F37" s="358" t="s">
        <v>443</v>
      </c>
      <c r="G37" s="391" t="s">
        <v>444</v>
      </c>
      <c r="H37" s="349"/>
      <c r="I37" s="543">
        <f t="shared" si="5"/>
        <v>30000</v>
      </c>
      <c r="J37" s="543">
        <v>30000</v>
      </c>
      <c r="K37" s="543"/>
      <c r="L37" s="543"/>
      <c r="M37" s="543"/>
      <c r="N37" s="543"/>
      <c r="O37" s="543">
        <f t="shared" ref="O37:O46" si="6">+Q37+P37</f>
        <v>30000</v>
      </c>
      <c r="P37" s="543"/>
      <c r="Q37" s="543">
        <v>30000</v>
      </c>
      <c r="R37" s="543"/>
      <c r="S37" s="776" t="s">
        <v>1005</v>
      </c>
      <c r="T37" s="403"/>
    </row>
    <row r="38" spans="1:20" s="297" customFormat="1" ht="60" outlineLevel="2">
      <c r="A38" s="254">
        <f>MAX(A$14:$A37)+1</f>
        <v>24</v>
      </c>
      <c r="B38" s="355" t="s">
        <v>446</v>
      </c>
      <c r="C38" s="591" t="s">
        <v>594</v>
      </c>
      <c r="D38" s="349" t="s">
        <v>173</v>
      </c>
      <c r="E38" s="358" t="s">
        <v>447</v>
      </c>
      <c r="F38" s="358" t="s">
        <v>448</v>
      </c>
      <c r="G38" s="391" t="s">
        <v>330</v>
      </c>
      <c r="H38" s="349"/>
      <c r="I38" s="543">
        <f t="shared" si="5"/>
        <v>45000</v>
      </c>
      <c r="J38" s="543">
        <v>45000</v>
      </c>
      <c r="K38" s="543"/>
      <c r="L38" s="543"/>
      <c r="M38" s="543"/>
      <c r="N38" s="543"/>
      <c r="O38" s="543">
        <f t="shared" si="6"/>
        <v>45000</v>
      </c>
      <c r="P38" s="543"/>
      <c r="Q38" s="543">
        <v>45000</v>
      </c>
      <c r="R38" s="543"/>
      <c r="S38" s="776" t="s">
        <v>1007</v>
      </c>
      <c r="T38" s="403"/>
    </row>
    <row r="39" spans="1:20" s="297" customFormat="1" ht="45" outlineLevel="2">
      <c r="A39" s="254">
        <f>MAX(A$14:$A38)+1</f>
        <v>25</v>
      </c>
      <c r="B39" s="369" t="s">
        <v>450</v>
      </c>
      <c r="C39" s="554" t="s">
        <v>293</v>
      </c>
      <c r="D39" s="349" t="s">
        <v>173</v>
      </c>
      <c r="E39" s="358" t="s">
        <v>451</v>
      </c>
      <c r="F39" s="358" t="s">
        <v>452</v>
      </c>
      <c r="G39" s="391" t="s">
        <v>330</v>
      </c>
      <c r="H39" s="349"/>
      <c r="I39" s="543">
        <f t="shared" si="5"/>
        <v>15000</v>
      </c>
      <c r="J39" s="543">
        <v>15000</v>
      </c>
      <c r="K39" s="543"/>
      <c r="L39" s="543"/>
      <c r="M39" s="543"/>
      <c r="N39" s="543"/>
      <c r="O39" s="543">
        <f t="shared" si="6"/>
        <v>15000</v>
      </c>
      <c r="P39" s="543"/>
      <c r="Q39" s="543">
        <v>15000</v>
      </c>
      <c r="R39" s="543"/>
      <c r="S39" s="776" t="s">
        <v>1005</v>
      </c>
      <c r="T39" s="403"/>
    </row>
    <row r="40" spans="1:20" s="297" customFormat="1" ht="60" outlineLevel="2">
      <c r="A40" s="254">
        <f>MAX(A$14:$A39)+1</f>
        <v>26</v>
      </c>
      <c r="B40" s="407" t="s">
        <v>454</v>
      </c>
      <c r="C40" s="554" t="s">
        <v>293</v>
      </c>
      <c r="D40" s="349" t="s">
        <v>101</v>
      </c>
      <c r="E40" s="358" t="s">
        <v>455</v>
      </c>
      <c r="F40" s="358" t="s">
        <v>456</v>
      </c>
      <c r="G40" s="391" t="s">
        <v>300</v>
      </c>
      <c r="H40" s="349"/>
      <c r="I40" s="543">
        <f t="shared" si="5"/>
        <v>120000</v>
      </c>
      <c r="J40" s="543">
        <v>120000</v>
      </c>
      <c r="K40" s="543"/>
      <c r="L40" s="543"/>
      <c r="M40" s="543"/>
      <c r="N40" s="543"/>
      <c r="O40" s="543">
        <f t="shared" si="6"/>
        <v>120000</v>
      </c>
      <c r="P40" s="543">
        <v>120000</v>
      </c>
      <c r="Q40" s="543"/>
      <c r="R40" s="543"/>
      <c r="S40" s="776" t="s">
        <v>1005</v>
      </c>
      <c r="T40" s="403"/>
    </row>
    <row r="41" spans="1:20" s="297" customFormat="1" ht="36" outlineLevel="2">
      <c r="A41" s="254">
        <f>MAX(A$14:$A40)+1</f>
        <v>27</v>
      </c>
      <c r="B41" s="401" t="s">
        <v>458</v>
      </c>
      <c r="C41" s="554" t="s">
        <v>293</v>
      </c>
      <c r="D41" s="349" t="s">
        <v>101</v>
      </c>
      <c r="E41" s="358" t="s">
        <v>459</v>
      </c>
      <c r="F41" s="358" t="s">
        <v>460</v>
      </c>
      <c r="G41" s="391" t="s">
        <v>300</v>
      </c>
      <c r="H41" s="349"/>
      <c r="I41" s="543">
        <f t="shared" si="5"/>
        <v>150000</v>
      </c>
      <c r="J41" s="543"/>
      <c r="K41" s="543">
        <v>150000</v>
      </c>
      <c r="L41" s="543"/>
      <c r="M41" s="543"/>
      <c r="N41" s="543"/>
      <c r="O41" s="543">
        <f t="shared" si="6"/>
        <v>150000</v>
      </c>
      <c r="P41" s="543"/>
      <c r="Q41" s="543">
        <v>150000</v>
      </c>
      <c r="R41" s="543"/>
      <c r="S41" s="776" t="s">
        <v>1005</v>
      </c>
      <c r="T41" s="404"/>
    </row>
    <row r="42" spans="1:20" s="297" customFormat="1" ht="30" outlineLevel="2">
      <c r="A42" s="254">
        <f>MAX(A$14:$A41)+1</f>
        <v>28</v>
      </c>
      <c r="B42" s="401" t="s">
        <v>461</v>
      </c>
      <c r="C42" s="391" t="s">
        <v>293</v>
      </c>
      <c r="D42" s="349" t="s">
        <v>173</v>
      </c>
      <c r="E42" s="358" t="s">
        <v>462</v>
      </c>
      <c r="F42" s="358" t="s">
        <v>420</v>
      </c>
      <c r="G42" s="391" t="s">
        <v>300</v>
      </c>
      <c r="H42" s="349"/>
      <c r="I42" s="543">
        <f>+J42+K42</f>
        <v>50000</v>
      </c>
      <c r="J42" s="543"/>
      <c r="K42" s="543">
        <v>50000</v>
      </c>
      <c r="L42" s="543"/>
      <c r="M42" s="543"/>
      <c r="N42" s="543"/>
      <c r="O42" s="543">
        <f>+Q42+P42</f>
        <v>50000</v>
      </c>
      <c r="P42" s="543"/>
      <c r="Q42" s="543">
        <v>50000</v>
      </c>
      <c r="R42" s="543"/>
      <c r="S42" s="776" t="s">
        <v>1005</v>
      </c>
      <c r="T42" s="404"/>
    </row>
    <row r="43" spans="1:20" s="297" customFormat="1" ht="36" outlineLevel="2">
      <c r="A43" s="254">
        <f>MAX(A$14:$A42)+1</f>
        <v>29</v>
      </c>
      <c r="B43" s="401" t="s">
        <v>463</v>
      </c>
      <c r="C43" s="391" t="s">
        <v>293</v>
      </c>
      <c r="D43" s="349" t="s">
        <v>101</v>
      </c>
      <c r="E43" s="358" t="s">
        <v>464</v>
      </c>
      <c r="F43" s="358" t="s">
        <v>420</v>
      </c>
      <c r="G43" s="391" t="s">
        <v>300</v>
      </c>
      <c r="H43" s="349"/>
      <c r="I43" s="543">
        <f>+J43+K43</f>
        <v>92000</v>
      </c>
      <c r="J43" s="543"/>
      <c r="K43" s="543">
        <v>92000</v>
      </c>
      <c r="L43" s="543"/>
      <c r="M43" s="543"/>
      <c r="N43" s="543"/>
      <c r="O43" s="543">
        <f>+Q43+P43</f>
        <v>92000</v>
      </c>
      <c r="P43" s="543"/>
      <c r="Q43" s="543">
        <v>92000</v>
      </c>
      <c r="R43" s="543"/>
      <c r="S43" s="776" t="s">
        <v>1005</v>
      </c>
      <c r="T43" s="404"/>
    </row>
    <row r="44" spans="1:20" s="297" customFormat="1" ht="36" outlineLevel="2">
      <c r="A44" s="254">
        <f>MAX(A$14:$A43)+1</f>
        <v>30</v>
      </c>
      <c r="B44" s="401" t="s">
        <v>465</v>
      </c>
      <c r="C44" s="391" t="s">
        <v>293</v>
      </c>
      <c r="D44" s="349" t="s">
        <v>101</v>
      </c>
      <c r="E44" s="358" t="s">
        <v>464</v>
      </c>
      <c r="F44" s="358" t="s">
        <v>420</v>
      </c>
      <c r="G44" s="391" t="s">
        <v>300</v>
      </c>
      <c r="H44" s="349"/>
      <c r="I44" s="543">
        <f>+J44+K44</f>
        <v>84000</v>
      </c>
      <c r="J44" s="543"/>
      <c r="K44" s="543">
        <v>84000</v>
      </c>
      <c r="L44" s="543"/>
      <c r="M44" s="543"/>
      <c r="N44" s="543"/>
      <c r="O44" s="543">
        <f>+Q44+P44</f>
        <v>84000</v>
      </c>
      <c r="P44" s="543"/>
      <c r="Q44" s="543">
        <v>84000</v>
      </c>
      <c r="R44" s="543"/>
      <c r="S44" s="776" t="s">
        <v>1005</v>
      </c>
      <c r="T44" s="404"/>
    </row>
    <row r="45" spans="1:20" s="297" customFormat="1" ht="51" outlineLevel="2">
      <c r="A45" s="254">
        <f>MAX(A$14:$A44)+1</f>
        <v>31</v>
      </c>
      <c r="B45" s="369" t="s">
        <v>466</v>
      </c>
      <c r="C45" s="556" t="s">
        <v>594</v>
      </c>
      <c r="D45" s="349" t="s">
        <v>101</v>
      </c>
      <c r="E45" s="380" t="s">
        <v>467</v>
      </c>
      <c r="F45" s="358" t="s">
        <v>420</v>
      </c>
      <c r="G45" s="391" t="s">
        <v>300</v>
      </c>
      <c r="H45" s="349"/>
      <c r="I45" s="543">
        <f t="shared" si="5"/>
        <v>135000</v>
      </c>
      <c r="J45" s="543"/>
      <c r="K45" s="543">
        <v>135000</v>
      </c>
      <c r="L45" s="543"/>
      <c r="M45" s="543"/>
      <c r="N45" s="543"/>
      <c r="O45" s="543">
        <f t="shared" si="6"/>
        <v>135000</v>
      </c>
      <c r="P45" s="543"/>
      <c r="Q45" s="543">
        <v>135000</v>
      </c>
      <c r="R45" s="543"/>
      <c r="S45" s="776" t="s">
        <v>1006</v>
      </c>
      <c r="T45" s="405"/>
    </row>
    <row r="46" spans="1:20" s="297" customFormat="1" ht="30" outlineLevel="2">
      <c r="A46" s="254">
        <f>MAX(A$14:$A45)+1</f>
        <v>32</v>
      </c>
      <c r="B46" s="401" t="s">
        <v>468</v>
      </c>
      <c r="C46" s="391" t="s">
        <v>293</v>
      </c>
      <c r="D46" s="349" t="s">
        <v>101</v>
      </c>
      <c r="E46" s="358" t="s">
        <v>469</v>
      </c>
      <c r="F46" s="358" t="s">
        <v>420</v>
      </c>
      <c r="G46" s="391" t="s">
        <v>300</v>
      </c>
      <c r="H46" s="349"/>
      <c r="I46" s="543">
        <f t="shared" si="5"/>
        <v>200000</v>
      </c>
      <c r="J46" s="543"/>
      <c r="K46" s="543">
        <v>200000</v>
      </c>
      <c r="L46" s="543"/>
      <c r="M46" s="543"/>
      <c r="N46" s="543"/>
      <c r="O46" s="543">
        <f t="shared" si="6"/>
        <v>200000</v>
      </c>
      <c r="P46" s="543">
        <v>200000</v>
      </c>
      <c r="Q46" s="543"/>
      <c r="R46" s="543"/>
      <c r="S46" s="776" t="s">
        <v>1005</v>
      </c>
      <c r="T46" s="404"/>
    </row>
    <row r="47" spans="1:20" s="297" customFormat="1" ht="30" outlineLevel="2">
      <c r="A47" s="254">
        <f>MAX(A$14:$A46)+1</f>
        <v>33</v>
      </c>
      <c r="B47" s="355" t="s">
        <v>470</v>
      </c>
      <c r="C47" s="554" t="s">
        <v>293</v>
      </c>
      <c r="D47" s="349" t="s">
        <v>173</v>
      </c>
      <c r="E47" s="380" t="s">
        <v>435</v>
      </c>
      <c r="F47" s="408" t="s">
        <v>471</v>
      </c>
      <c r="G47" s="391" t="s">
        <v>212</v>
      </c>
      <c r="H47" s="349"/>
      <c r="I47" s="543">
        <f t="shared" si="5"/>
        <v>30000</v>
      </c>
      <c r="J47" s="543">
        <v>30000</v>
      </c>
      <c r="K47" s="543"/>
      <c r="L47" s="544"/>
      <c r="M47" s="544"/>
      <c r="N47" s="544"/>
      <c r="O47" s="543">
        <v>30000</v>
      </c>
      <c r="P47" s="543"/>
      <c r="Q47" s="543">
        <v>30000</v>
      </c>
      <c r="R47" s="543"/>
      <c r="S47" s="776" t="s">
        <v>1005</v>
      </c>
      <c r="T47" s="403"/>
    </row>
    <row r="48" spans="1:20" s="297" customFormat="1" ht="25.5" outlineLevel="2">
      <c r="A48" s="254">
        <f>MAX(A$14:$A47)+1</f>
        <v>34</v>
      </c>
      <c r="B48" s="355" t="s">
        <v>475</v>
      </c>
      <c r="C48" s="554" t="s">
        <v>293</v>
      </c>
      <c r="D48" s="349" t="s">
        <v>173</v>
      </c>
      <c r="E48" s="380" t="s">
        <v>476</v>
      </c>
      <c r="F48" s="408" t="s">
        <v>477</v>
      </c>
      <c r="G48" s="391" t="s">
        <v>212</v>
      </c>
      <c r="H48" s="349"/>
      <c r="I48" s="543">
        <f t="shared" si="5"/>
        <v>30000</v>
      </c>
      <c r="J48" s="543">
        <v>30000</v>
      </c>
      <c r="K48" s="543"/>
      <c r="L48" s="544"/>
      <c r="M48" s="544"/>
      <c r="N48" s="544"/>
      <c r="O48" s="543">
        <v>30000</v>
      </c>
      <c r="P48" s="543"/>
      <c r="Q48" s="543">
        <v>30000</v>
      </c>
      <c r="R48" s="543"/>
      <c r="S48" s="776" t="s">
        <v>1005</v>
      </c>
      <c r="T48" s="403"/>
    </row>
    <row r="49" spans="1:20" s="297" customFormat="1" ht="25.5" outlineLevel="2">
      <c r="A49" s="254">
        <f>MAX(A$14:$A48)+1</f>
        <v>35</v>
      </c>
      <c r="B49" s="355" t="s">
        <v>478</v>
      </c>
      <c r="C49" s="554" t="s">
        <v>293</v>
      </c>
      <c r="D49" s="349" t="s">
        <v>173</v>
      </c>
      <c r="E49" s="380" t="s">
        <v>476</v>
      </c>
      <c r="F49" s="408" t="s">
        <v>477</v>
      </c>
      <c r="G49" s="391" t="s">
        <v>212</v>
      </c>
      <c r="H49" s="349"/>
      <c r="I49" s="543">
        <f t="shared" si="5"/>
        <v>35000</v>
      </c>
      <c r="J49" s="543">
        <v>35000</v>
      </c>
      <c r="K49" s="543"/>
      <c r="L49" s="544"/>
      <c r="M49" s="544"/>
      <c r="N49" s="544"/>
      <c r="O49" s="543">
        <v>35000</v>
      </c>
      <c r="P49" s="543"/>
      <c r="Q49" s="543">
        <v>35000</v>
      </c>
      <c r="R49" s="543"/>
      <c r="S49" s="776" t="s">
        <v>1005</v>
      </c>
      <c r="T49" s="403"/>
    </row>
    <row r="50" spans="1:20" s="297" customFormat="1" ht="30.75" customHeight="1">
      <c r="A50" s="527">
        <v>2</v>
      </c>
      <c r="B50" s="298" t="s">
        <v>175</v>
      </c>
      <c r="C50" s="394"/>
      <c r="D50" s="343"/>
      <c r="E50" s="344"/>
      <c r="F50" s="344"/>
      <c r="G50" s="394"/>
      <c r="H50" s="343"/>
      <c r="I50" s="346">
        <f>+I51</f>
        <v>500000</v>
      </c>
      <c r="J50" s="346">
        <f t="shared" ref="J50:O50" si="7">+J51</f>
        <v>0</v>
      </c>
      <c r="K50" s="346">
        <f t="shared" si="7"/>
        <v>500000</v>
      </c>
      <c r="L50" s="346">
        <f t="shared" si="7"/>
        <v>0</v>
      </c>
      <c r="M50" s="346">
        <f t="shared" si="7"/>
        <v>0</v>
      </c>
      <c r="N50" s="346">
        <f t="shared" si="7"/>
        <v>0</v>
      </c>
      <c r="O50" s="346">
        <f t="shared" si="7"/>
        <v>500000</v>
      </c>
      <c r="P50" s="346" t="e">
        <f>+P51+#REF!</f>
        <v>#REF!</v>
      </c>
      <c r="Q50" s="346" t="e">
        <f>+Q51+#REF!</f>
        <v>#REF!</v>
      </c>
      <c r="R50" s="346"/>
      <c r="S50" s="344"/>
      <c r="T50" s="297">
        <f>I50-[3]Sheet1!$J$16</f>
        <v>-5884000</v>
      </c>
    </row>
    <row r="51" spans="1:20" s="297" customFormat="1" ht="28.5" outlineLevel="1">
      <c r="A51" s="323"/>
      <c r="B51" s="326" t="s">
        <v>481</v>
      </c>
      <c r="C51" s="393"/>
      <c r="D51" s="324"/>
      <c r="E51" s="339"/>
      <c r="F51" s="339"/>
      <c r="G51" s="393"/>
      <c r="H51" s="324"/>
      <c r="I51" s="325">
        <f t="shared" ref="I51:Q51" si="8">SUM(I52:I52)</f>
        <v>500000</v>
      </c>
      <c r="J51" s="325">
        <f t="shared" si="8"/>
        <v>0</v>
      </c>
      <c r="K51" s="325">
        <f t="shared" si="8"/>
        <v>500000</v>
      </c>
      <c r="L51" s="325">
        <f t="shared" si="8"/>
        <v>0</v>
      </c>
      <c r="M51" s="325">
        <f t="shared" si="8"/>
        <v>0</v>
      </c>
      <c r="N51" s="325">
        <f t="shared" si="8"/>
        <v>0</v>
      </c>
      <c r="O51" s="325">
        <f t="shared" si="8"/>
        <v>500000</v>
      </c>
      <c r="P51" s="325">
        <f t="shared" si="8"/>
        <v>0</v>
      </c>
      <c r="Q51" s="325">
        <f t="shared" si="8"/>
        <v>500000</v>
      </c>
      <c r="R51" s="325"/>
      <c r="S51" s="387"/>
    </row>
    <row r="52" spans="1:20" s="297" customFormat="1" ht="38.25" outlineLevel="2">
      <c r="A52" s="254">
        <f>MAX(A$14:$A51)+1</f>
        <v>36</v>
      </c>
      <c r="B52" s="279" t="s">
        <v>275</v>
      </c>
      <c r="C52" s="263" t="s">
        <v>208</v>
      </c>
      <c r="D52" s="293" t="str">
        <f>IF(I52&gt;=45000,"B","C")</f>
        <v>B</v>
      </c>
      <c r="E52" s="337" t="s">
        <v>276</v>
      </c>
      <c r="F52" s="337"/>
      <c r="G52" s="263" t="s">
        <v>211</v>
      </c>
      <c r="H52" s="293"/>
      <c r="I52" s="294">
        <v>500000</v>
      </c>
      <c r="J52" s="294"/>
      <c r="K52" s="294">
        <v>500000</v>
      </c>
      <c r="L52" s="295"/>
      <c r="M52" s="295"/>
      <c r="N52" s="295"/>
      <c r="O52" s="294">
        <f>P52+Q52</f>
        <v>500000</v>
      </c>
      <c r="P52" s="295"/>
      <c r="Q52" s="294">
        <v>500000</v>
      </c>
      <c r="R52" s="294"/>
      <c r="S52" s="710" t="s">
        <v>1003</v>
      </c>
      <c r="T52" s="297" t="s">
        <v>615</v>
      </c>
    </row>
    <row r="53" spans="1:20" s="297" customFormat="1" ht="28.5">
      <c r="A53" s="527">
        <v>3</v>
      </c>
      <c r="B53" s="298" t="s">
        <v>174</v>
      </c>
      <c r="C53" s="394"/>
      <c r="D53" s="343"/>
      <c r="E53" s="344"/>
      <c r="F53" s="344"/>
      <c r="G53" s="394"/>
      <c r="H53" s="343"/>
      <c r="I53" s="346">
        <f>+I54</f>
        <v>3050000</v>
      </c>
      <c r="J53" s="346">
        <f t="shared" ref="J53:Q53" si="9">+J54</f>
        <v>0</v>
      </c>
      <c r="K53" s="346">
        <f t="shared" si="9"/>
        <v>3050000</v>
      </c>
      <c r="L53" s="346">
        <f t="shared" si="9"/>
        <v>0</v>
      </c>
      <c r="M53" s="346">
        <f t="shared" si="9"/>
        <v>0</v>
      </c>
      <c r="N53" s="346">
        <f t="shared" si="9"/>
        <v>0</v>
      </c>
      <c r="O53" s="346">
        <f t="shared" si="9"/>
        <v>2970000</v>
      </c>
      <c r="P53" s="346">
        <f t="shared" si="9"/>
        <v>0</v>
      </c>
      <c r="Q53" s="346">
        <f t="shared" si="9"/>
        <v>2970000</v>
      </c>
      <c r="R53" s="346"/>
      <c r="S53" s="394"/>
    </row>
    <row r="54" spans="1:20" s="297" customFormat="1" ht="28.5" outlineLevel="1" collapsed="1">
      <c r="A54" s="323"/>
      <c r="B54" s="281" t="s">
        <v>483</v>
      </c>
      <c r="C54" s="393"/>
      <c r="D54" s="324"/>
      <c r="E54" s="339"/>
      <c r="F54" s="339"/>
      <c r="G54" s="393"/>
      <c r="H54" s="324"/>
      <c r="I54" s="325">
        <f>SUM(I55:I57)</f>
        <v>3050000</v>
      </c>
      <c r="J54" s="325">
        <f t="shared" ref="J54:Q54" si="10">SUM(J55:J57)</f>
        <v>0</v>
      </c>
      <c r="K54" s="325">
        <f t="shared" si="10"/>
        <v>3050000</v>
      </c>
      <c r="L54" s="325">
        <f t="shared" si="10"/>
        <v>0</v>
      </c>
      <c r="M54" s="325">
        <f t="shared" si="10"/>
        <v>0</v>
      </c>
      <c r="N54" s="325">
        <f t="shared" si="10"/>
        <v>0</v>
      </c>
      <c r="O54" s="325">
        <f t="shared" si="10"/>
        <v>2970000</v>
      </c>
      <c r="P54" s="325">
        <f t="shared" si="10"/>
        <v>0</v>
      </c>
      <c r="Q54" s="325">
        <f t="shared" si="10"/>
        <v>2970000</v>
      </c>
      <c r="R54" s="325"/>
      <c r="S54" s="774"/>
    </row>
    <row r="55" spans="1:20" s="297" customFormat="1" ht="38.25" outlineLevel="2">
      <c r="A55" s="254">
        <f>MAX(A$14:$A54)+1</f>
        <v>37</v>
      </c>
      <c r="B55" s="279" t="s">
        <v>493</v>
      </c>
      <c r="C55" s="263" t="s">
        <v>174</v>
      </c>
      <c r="D55" s="293" t="s">
        <v>101</v>
      </c>
      <c r="E55" s="338" t="s">
        <v>435</v>
      </c>
      <c r="F55" s="340" t="s">
        <v>494</v>
      </c>
      <c r="G55" s="263" t="s">
        <v>300</v>
      </c>
      <c r="H55" s="310"/>
      <c r="I55" s="328">
        <v>1500000</v>
      </c>
      <c r="J55" s="311"/>
      <c r="K55" s="328">
        <f>I55</f>
        <v>1500000</v>
      </c>
      <c r="L55" s="311"/>
      <c r="M55" s="311"/>
      <c r="N55" s="311"/>
      <c r="O55" s="474">
        <f>P55+Q55</f>
        <v>1500000</v>
      </c>
      <c r="P55" s="474"/>
      <c r="Q55" s="294">
        <v>1500000</v>
      </c>
      <c r="R55" s="294"/>
      <c r="S55" s="775" t="s">
        <v>1009</v>
      </c>
    </row>
    <row r="56" spans="1:20" s="297" customFormat="1" ht="38.25" outlineLevel="2">
      <c r="A56" s="254">
        <f>MAX(A$55:$A55)+1</f>
        <v>38</v>
      </c>
      <c r="B56" s="279" t="s">
        <v>502</v>
      </c>
      <c r="C56" s="263" t="s">
        <v>174</v>
      </c>
      <c r="D56" s="293" t="s">
        <v>101</v>
      </c>
      <c r="E56" s="338" t="s">
        <v>435</v>
      </c>
      <c r="F56" s="340" t="s">
        <v>503</v>
      </c>
      <c r="G56" s="263" t="s">
        <v>212</v>
      </c>
      <c r="H56" s="310"/>
      <c r="I56" s="328">
        <f>50*13000</f>
        <v>650000</v>
      </c>
      <c r="J56" s="311"/>
      <c r="K56" s="328">
        <f>I56</f>
        <v>650000</v>
      </c>
      <c r="L56" s="311"/>
      <c r="M56" s="311"/>
      <c r="N56" s="311"/>
      <c r="O56" s="294">
        <v>620000</v>
      </c>
      <c r="P56" s="295"/>
      <c r="Q56" s="294">
        <f>O56</f>
        <v>620000</v>
      </c>
      <c r="R56" s="294"/>
      <c r="S56" s="775" t="s">
        <v>1009</v>
      </c>
    </row>
    <row r="57" spans="1:20" s="297" customFormat="1" ht="38.25" outlineLevel="2">
      <c r="A57" s="254">
        <f>MAX(A$55:$A56)+1</f>
        <v>39</v>
      </c>
      <c r="B57" s="279" t="s">
        <v>506</v>
      </c>
      <c r="C57" s="263" t="s">
        <v>174</v>
      </c>
      <c r="D57" s="293" t="s">
        <v>101</v>
      </c>
      <c r="E57" s="338" t="s">
        <v>435</v>
      </c>
      <c r="F57" s="340"/>
      <c r="G57" s="263" t="s">
        <v>211</v>
      </c>
      <c r="H57" s="310"/>
      <c r="I57" s="328">
        <v>900000</v>
      </c>
      <c r="J57" s="311"/>
      <c r="K57" s="328">
        <f>I57</f>
        <v>900000</v>
      </c>
      <c r="L57" s="311"/>
      <c r="M57" s="311"/>
      <c r="N57" s="311"/>
      <c r="O57" s="294">
        <v>850000</v>
      </c>
      <c r="P57" s="295"/>
      <c r="Q57" s="294">
        <f>O57</f>
        <v>850000</v>
      </c>
      <c r="R57" s="294"/>
      <c r="S57" s="775" t="s">
        <v>1009</v>
      </c>
    </row>
    <row r="58" spans="1:20" s="297" customFormat="1" ht="18.75" customHeight="1">
      <c r="A58" s="527">
        <v>4</v>
      </c>
      <c r="B58" s="298" t="s">
        <v>536</v>
      </c>
      <c r="C58" s="394"/>
      <c r="D58" s="343"/>
      <c r="E58" s="344"/>
      <c r="F58" s="344"/>
      <c r="G58" s="394"/>
      <c r="H58" s="343"/>
      <c r="I58" s="346">
        <f>I59</f>
        <v>8400</v>
      </c>
      <c r="J58" s="346">
        <f t="shared" ref="J58:Q58" si="11">J59</f>
        <v>0</v>
      </c>
      <c r="K58" s="346">
        <f t="shared" si="11"/>
        <v>8400</v>
      </c>
      <c r="L58" s="346">
        <f t="shared" si="11"/>
        <v>0</v>
      </c>
      <c r="M58" s="346">
        <f t="shared" si="11"/>
        <v>0</v>
      </c>
      <c r="N58" s="346">
        <f t="shared" si="11"/>
        <v>0</v>
      </c>
      <c r="O58" s="346">
        <f t="shared" si="11"/>
        <v>8400</v>
      </c>
      <c r="P58" s="346">
        <f t="shared" si="11"/>
        <v>0</v>
      </c>
      <c r="Q58" s="346">
        <f t="shared" si="11"/>
        <v>8400</v>
      </c>
      <c r="R58" s="346"/>
      <c r="S58" s="394"/>
    </row>
    <row r="59" spans="1:20" s="297" customFormat="1" ht="28.5" outlineLevel="1" collapsed="1">
      <c r="A59" s="323"/>
      <c r="B59" s="281" t="s">
        <v>533</v>
      </c>
      <c r="C59" s="393"/>
      <c r="D59" s="324"/>
      <c r="E59" s="339"/>
      <c r="F59" s="339"/>
      <c r="G59" s="393"/>
      <c r="H59" s="324"/>
      <c r="I59" s="325">
        <f t="shared" ref="I59:Q59" si="12">SUM(I60:I60)</f>
        <v>8400</v>
      </c>
      <c r="J59" s="325">
        <f t="shared" si="12"/>
        <v>0</v>
      </c>
      <c r="K59" s="325">
        <f t="shared" si="12"/>
        <v>8400</v>
      </c>
      <c r="L59" s="325">
        <f t="shared" si="12"/>
        <v>0</v>
      </c>
      <c r="M59" s="325">
        <f t="shared" si="12"/>
        <v>0</v>
      </c>
      <c r="N59" s="325">
        <f t="shared" si="12"/>
        <v>0</v>
      </c>
      <c r="O59" s="325">
        <f t="shared" si="12"/>
        <v>8400</v>
      </c>
      <c r="P59" s="325">
        <f t="shared" si="12"/>
        <v>0</v>
      </c>
      <c r="Q59" s="325">
        <f t="shared" si="12"/>
        <v>8400</v>
      </c>
      <c r="R59" s="325"/>
      <c r="S59" s="774"/>
    </row>
    <row r="60" spans="1:20" ht="30" outlineLevel="2">
      <c r="A60" s="714">
        <f>MAX(A$14:$A59)+1</f>
        <v>40</v>
      </c>
      <c r="B60" s="268" t="s">
        <v>552</v>
      </c>
      <c r="C60" s="764" t="s">
        <v>538</v>
      </c>
      <c r="D60" s="765" t="s">
        <v>173</v>
      </c>
      <c r="E60" s="766" t="s">
        <v>556</v>
      </c>
      <c r="F60" s="767"/>
      <c r="G60" s="768" t="s">
        <v>300</v>
      </c>
      <c r="H60" s="769"/>
      <c r="I60" s="770">
        <f>J60+K60</f>
        <v>8400</v>
      </c>
      <c r="J60" s="771"/>
      <c r="K60" s="770">
        <v>8400</v>
      </c>
      <c r="L60" s="98"/>
      <c r="M60" s="98"/>
      <c r="N60" s="98"/>
      <c r="O60" s="770">
        <f>P60+Q60</f>
        <v>8400</v>
      </c>
      <c r="P60" s="98"/>
      <c r="Q60" s="770">
        <v>8400</v>
      </c>
      <c r="R60" s="770"/>
      <c r="S60" s="776" t="s">
        <v>1008</v>
      </c>
      <c r="T60" s="772" t="s">
        <v>555</v>
      </c>
    </row>
    <row r="61" spans="1:20" s="297" customFormat="1" ht="19.899999999999999" customHeight="1">
      <c r="A61" s="527">
        <v>5</v>
      </c>
      <c r="B61" s="298" t="s">
        <v>559</v>
      </c>
      <c r="C61" s="394"/>
      <c r="D61" s="343"/>
      <c r="E61" s="344"/>
      <c r="F61" s="344"/>
      <c r="G61" s="394"/>
      <c r="H61" s="343"/>
      <c r="I61" s="346">
        <f>+I62</f>
        <v>2300</v>
      </c>
      <c r="J61" s="346">
        <f t="shared" ref="J61:Q61" si="13">+J62</f>
        <v>0</v>
      </c>
      <c r="K61" s="346">
        <f t="shared" si="13"/>
        <v>2300</v>
      </c>
      <c r="L61" s="346">
        <f t="shared" si="13"/>
        <v>0</v>
      </c>
      <c r="M61" s="346">
        <f t="shared" si="13"/>
        <v>0</v>
      </c>
      <c r="N61" s="346">
        <f t="shared" si="13"/>
        <v>0</v>
      </c>
      <c r="O61" s="346">
        <f t="shared" si="13"/>
        <v>2300</v>
      </c>
      <c r="P61" s="346">
        <f t="shared" si="13"/>
        <v>0</v>
      </c>
      <c r="Q61" s="346">
        <f t="shared" si="13"/>
        <v>2300</v>
      </c>
      <c r="R61" s="346"/>
      <c r="S61" s="394"/>
    </row>
    <row r="62" spans="1:20" s="297" customFormat="1" ht="28.5" outlineLevel="1" collapsed="1">
      <c r="A62" s="323"/>
      <c r="B62" s="281" t="s">
        <v>533</v>
      </c>
      <c r="C62" s="393"/>
      <c r="D62" s="324"/>
      <c r="E62" s="339"/>
      <c r="F62" s="339"/>
      <c r="G62" s="393"/>
      <c r="H62" s="324"/>
      <c r="I62" s="325">
        <f t="shared" ref="I62:Q62" si="14">SUM(I63:I63)</f>
        <v>2300</v>
      </c>
      <c r="J62" s="325">
        <f t="shared" si="14"/>
        <v>0</v>
      </c>
      <c r="K62" s="325">
        <f t="shared" si="14"/>
        <v>2300</v>
      </c>
      <c r="L62" s="325">
        <f t="shared" si="14"/>
        <v>0</v>
      </c>
      <c r="M62" s="325">
        <f t="shared" si="14"/>
        <v>0</v>
      </c>
      <c r="N62" s="325">
        <f t="shared" si="14"/>
        <v>0</v>
      </c>
      <c r="O62" s="325">
        <f t="shared" si="14"/>
        <v>2300</v>
      </c>
      <c r="P62" s="325">
        <f t="shared" si="14"/>
        <v>0</v>
      </c>
      <c r="Q62" s="325">
        <f t="shared" si="14"/>
        <v>2300</v>
      </c>
      <c r="R62" s="325"/>
      <c r="S62" s="774"/>
    </row>
    <row r="63" spans="1:20" ht="60" outlineLevel="2">
      <c r="A63" s="714">
        <f>MAX(A$14:$A62)+1</f>
        <v>41</v>
      </c>
      <c r="B63" s="268" t="s">
        <v>570</v>
      </c>
      <c r="C63" s="764" t="s">
        <v>559</v>
      </c>
      <c r="D63" s="765" t="s">
        <v>173</v>
      </c>
      <c r="E63" s="766" t="s">
        <v>0</v>
      </c>
      <c r="F63" s="767"/>
      <c r="G63" s="768" t="s">
        <v>563</v>
      </c>
      <c r="H63" s="769"/>
      <c r="I63" s="770">
        <v>2300</v>
      </c>
      <c r="J63" s="771"/>
      <c r="K63" s="770">
        <v>2300</v>
      </c>
      <c r="L63" s="98"/>
      <c r="M63" s="98"/>
      <c r="N63" s="98"/>
      <c r="O63" s="770">
        <v>2300</v>
      </c>
      <c r="P63" s="98"/>
      <c r="Q63" s="770">
        <v>2300</v>
      </c>
      <c r="R63" s="770"/>
      <c r="S63" s="776" t="s">
        <v>1008</v>
      </c>
      <c r="T63" s="772" t="s">
        <v>555</v>
      </c>
    </row>
    <row r="64" spans="1:20" s="297" customFormat="1" ht="28.5">
      <c r="A64" s="527">
        <v>6</v>
      </c>
      <c r="B64" s="298" t="s">
        <v>629</v>
      </c>
      <c r="C64" s="394"/>
      <c r="D64" s="343"/>
      <c r="E64" s="344"/>
      <c r="F64" s="344"/>
      <c r="G64" s="394"/>
      <c r="H64" s="343"/>
      <c r="I64" s="346">
        <f t="shared" ref="I64:Q64" si="15">SUM(I66:I70)</f>
        <v>74000</v>
      </c>
      <c r="J64" s="346">
        <f t="shared" si="15"/>
        <v>0</v>
      </c>
      <c r="K64" s="346">
        <f t="shared" si="15"/>
        <v>74000</v>
      </c>
      <c r="L64" s="346">
        <f t="shared" si="15"/>
        <v>0</v>
      </c>
      <c r="M64" s="346">
        <f t="shared" si="15"/>
        <v>0</v>
      </c>
      <c r="N64" s="346">
        <f t="shared" si="15"/>
        <v>0</v>
      </c>
      <c r="O64" s="346">
        <f t="shared" si="15"/>
        <v>74000</v>
      </c>
      <c r="P64" s="346">
        <f t="shared" si="15"/>
        <v>0</v>
      </c>
      <c r="Q64" s="346">
        <f t="shared" si="15"/>
        <v>74000</v>
      </c>
      <c r="R64" s="346"/>
      <c r="S64" s="344"/>
    </row>
    <row r="65" spans="1:19" s="297" customFormat="1" outlineLevel="1" collapsed="1">
      <c r="A65" s="323"/>
      <c r="B65" s="281" t="s">
        <v>914</v>
      </c>
      <c r="C65" s="393"/>
      <c r="D65" s="324"/>
      <c r="E65" s="339"/>
      <c r="F65" s="339"/>
      <c r="G65" s="393"/>
      <c r="H65" s="324"/>
      <c r="I65" s="325"/>
      <c r="J65" s="325"/>
      <c r="K65" s="325"/>
      <c r="L65" s="325"/>
      <c r="M65" s="325"/>
      <c r="N65" s="325"/>
      <c r="O65" s="325"/>
      <c r="P65" s="325"/>
      <c r="Q65" s="325"/>
      <c r="R65" s="325"/>
      <c r="S65" s="387"/>
    </row>
    <row r="66" spans="1:19" ht="38.25" outlineLevel="2">
      <c r="A66" s="254">
        <f>MAX(A$14:$A65)+1</f>
        <v>42</v>
      </c>
      <c r="B66" s="492" t="s">
        <v>635</v>
      </c>
      <c r="C66" s="263" t="s">
        <v>629</v>
      </c>
      <c r="D66" s="293" t="s">
        <v>173</v>
      </c>
      <c r="E66" s="337"/>
      <c r="F66" s="337"/>
      <c r="G66" s="263" t="s">
        <v>212</v>
      </c>
      <c r="H66" s="293"/>
      <c r="I66" s="493">
        <v>8000</v>
      </c>
      <c r="J66" s="488"/>
      <c r="K66" s="493">
        <v>8000</v>
      </c>
      <c r="L66" s="488"/>
      <c r="M66" s="488"/>
      <c r="N66" s="488"/>
      <c r="O66" s="493">
        <v>8000</v>
      </c>
      <c r="P66" s="488"/>
      <c r="Q66" s="493">
        <v>8000</v>
      </c>
      <c r="R66" s="493"/>
      <c r="S66" s="775" t="s">
        <v>1009</v>
      </c>
    </row>
    <row r="67" spans="1:19" ht="38.25" outlineLevel="2">
      <c r="A67" s="254">
        <f>MAX(A$14:$A66)+1</f>
        <v>43</v>
      </c>
      <c r="B67" s="492" t="s">
        <v>636</v>
      </c>
      <c r="C67" s="263" t="s">
        <v>629</v>
      </c>
      <c r="D67" s="293" t="s">
        <v>173</v>
      </c>
      <c r="E67" s="337"/>
      <c r="F67" s="337"/>
      <c r="G67" s="263" t="s">
        <v>212</v>
      </c>
      <c r="H67" s="293"/>
      <c r="I67" s="493">
        <v>14000</v>
      </c>
      <c r="J67" s="488"/>
      <c r="K67" s="493">
        <v>14000</v>
      </c>
      <c r="L67" s="488"/>
      <c r="M67" s="488"/>
      <c r="N67" s="488"/>
      <c r="O67" s="493">
        <v>14000</v>
      </c>
      <c r="P67" s="488"/>
      <c r="Q67" s="493">
        <v>14000</v>
      </c>
      <c r="R67" s="493"/>
      <c r="S67" s="775" t="s">
        <v>1009</v>
      </c>
    </row>
    <row r="68" spans="1:19" ht="38.25" outlineLevel="2">
      <c r="A68" s="254">
        <f>MAX(A$14:$A67)+1</f>
        <v>44</v>
      </c>
      <c r="B68" s="492" t="s">
        <v>637</v>
      </c>
      <c r="C68" s="263" t="s">
        <v>629</v>
      </c>
      <c r="D68" s="293" t="s">
        <v>173</v>
      </c>
      <c r="E68" s="337"/>
      <c r="F68" s="337"/>
      <c r="G68" s="263" t="s">
        <v>212</v>
      </c>
      <c r="H68" s="293"/>
      <c r="I68" s="493">
        <v>15000</v>
      </c>
      <c r="J68" s="488"/>
      <c r="K68" s="493">
        <v>15000</v>
      </c>
      <c r="L68" s="488"/>
      <c r="M68" s="488"/>
      <c r="N68" s="488"/>
      <c r="O68" s="493">
        <v>15000</v>
      </c>
      <c r="P68" s="488"/>
      <c r="Q68" s="493">
        <v>15000</v>
      </c>
      <c r="R68" s="493"/>
      <c r="S68" s="775" t="s">
        <v>1009</v>
      </c>
    </row>
    <row r="69" spans="1:19" ht="38.25" outlineLevel="2">
      <c r="A69" s="254">
        <f>MAX(A$14:$A68)+1</f>
        <v>45</v>
      </c>
      <c r="B69" s="492" t="s">
        <v>638</v>
      </c>
      <c r="C69" s="263" t="s">
        <v>629</v>
      </c>
      <c r="D69" s="293" t="s">
        <v>173</v>
      </c>
      <c r="E69" s="337"/>
      <c r="F69" s="337"/>
      <c r="G69" s="263" t="s">
        <v>212</v>
      </c>
      <c r="H69" s="293"/>
      <c r="I69" s="493">
        <v>7000</v>
      </c>
      <c r="J69" s="488"/>
      <c r="K69" s="493">
        <v>7000</v>
      </c>
      <c r="L69" s="488"/>
      <c r="M69" s="488"/>
      <c r="N69" s="488"/>
      <c r="O69" s="493">
        <v>7000</v>
      </c>
      <c r="P69" s="488"/>
      <c r="Q69" s="493">
        <v>7000</v>
      </c>
      <c r="R69" s="493"/>
      <c r="S69" s="775" t="s">
        <v>1009</v>
      </c>
    </row>
    <row r="70" spans="1:19" ht="38.25" outlineLevel="2">
      <c r="A70" s="254">
        <f>MAX(A$14:$A69)+1</f>
        <v>46</v>
      </c>
      <c r="B70" s="492" t="s">
        <v>639</v>
      </c>
      <c r="C70" s="263" t="s">
        <v>629</v>
      </c>
      <c r="D70" s="293" t="s">
        <v>173</v>
      </c>
      <c r="E70" s="337"/>
      <c r="F70" s="337"/>
      <c r="G70" s="263" t="s">
        <v>212</v>
      </c>
      <c r="H70" s="293"/>
      <c r="I70" s="493">
        <v>30000</v>
      </c>
      <c r="J70" s="488"/>
      <c r="K70" s="493">
        <v>30000</v>
      </c>
      <c r="L70" s="488"/>
      <c r="M70" s="488"/>
      <c r="N70" s="488"/>
      <c r="O70" s="493">
        <v>30000</v>
      </c>
      <c r="P70" s="488"/>
      <c r="Q70" s="493">
        <v>30000</v>
      </c>
      <c r="R70" s="493"/>
      <c r="S70" s="775" t="s">
        <v>1009</v>
      </c>
    </row>
    <row r="71" spans="1:19" s="297" customFormat="1" ht="18.75" customHeight="1">
      <c r="A71" s="527">
        <v>7</v>
      </c>
      <c r="B71" s="298" t="s">
        <v>643</v>
      </c>
      <c r="C71" s="394"/>
      <c r="D71" s="343"/>
      <c r="E71" s="344"/>
      <c r="F71" s="344"/>
      <c r="G71" s="394"/>
      <c r="H71" s="343"/>
      <c r="I71" s="346">
        <f>I73</f>
        <v>221000</v>
      </c>
      <c r="J71" s="346">
        <f t="shared" ref="J71:Q71" si="16">J73</f>
        <v>0</v>
      </c>
      <c r="K71" s="346">
        <f t="shared" si="16"/>
        <v>221000</v>
      </c>
      <c r="L71" s="346">
        <f t="shared" si="16"/>
        <v>0</v>
      </c>
      <c r="M71" s="346">
        <f t="shared" si="16"/>
        <v>0</v>
      </c>
      <c r="N71" s="346">
        <f t="shared" si="16"/>
        <v>0</v>
      </c>
      <c r="O71" s="346">
        <f t="shared" si="16"/>
        <v>221000</v>
      </c>
      <c r="P71" s="346">
        <f t="shared" si="16"/>
        <v>0</v>
      </c>
      <c r="Q71" s="346">
        <f t="shared" si="16"/>
        <v>221000</v>
      </c>
      <c r="R71" s="346"/>
      <c r="S71" s="344"/>
    </row>
    <row r="72" spans="1:19" s="297" customFormat="1" outlineLevel="1" collapsed="1">
      <c r="A72" s="323"/>
      <c r="B72" s="281" t="s">
        <v>918</v>
      </c>
      <c r="C72" s="393"/>
      <c r="D72" s="324"/>
      <c r="E72" s="339"/>
      <c r="F72" s="339"/>
      <c r="G72" s="393"/>
      <c r="H72" s="324"/>
      <c r="I72" s="325">
        <f>I73</f>
        <v>221000</v>
      </c>
      <c r="J72" s="325">
        <f t="shared" ref="J72:Q72" si="17">J73</f>
        <v>0</v>
      </c>
      <c r="K72" s="325">
        <f t="shared" si="17"/>
        <v>221000</v>
      </c>
      <c r="L72" s="325">
        <f t="shared" si="17"/>
        <v>0</v>
      </c>
      <c r="M72" s="325">
        <f t="shared" si="17"/>
        <v>0</v>
      </c>
      <c r="N72" s="325">
        <f t="shared" si="17"/>
        <v>0</v>
      </c>
      <c r="O72" s="325">
        <f t="shared" si="17"/>
        <v>221000</v>
      </c>
      <c r="P72" s="325">
        <f t="shared" si="17"/>
        <v>0</v>
      </c>
      <c r="Q72" s="325">
        <f t="shared" si="17"/>
        <v>221000</v>
      </c>
      <c r="R72" s="325"/>
      <c r="S72" s="387"/>
    </row>
    <row r="73" spans="1:19" s="297" customFormat="1" ht="45" outlineLevel="2">
      <c r="A73" s="254">
        <f>MAX(A$14:$A72)+1</f>
        <v>47</v>
      </c>
      <c r="B73" s="279" t="s">
        <v>644</v>
      </c>
      <c r="C73" s="263" t="s">
        <v>643</v>
      </c>
      <c r="D73" s="293" t="s">
        <v>101</v>
      </c>
      <c r="E73" s="337"/>
      <c r="F73" s="337"/>
      <c r="G73" s="263" t="s">
        <v>300</v>
      </c>
      <c r="H73" s="293"/>
      <c r="I73" s="294">
        <v>221000</v>
      </c>
      <c r="J73" s="294"/>
      <c r="K73" s="294">
        <v>221000</v>
      </c>
      <c r="L73" s="294"/>
      <c r="M73" s="294"/>
      <c r="N73" s="294"/>
      <c r="O73" s="294">
        <v>221000</v>
      </c>
      <c r="P73" s="488"/>
      <c r="Q73" s="488">
        <v>221000</v>
      </c>
      <c r="R73" s="486"/>
      <c r="S73" s="486" t="s">
        <v>1010</v>
      </c>
    </row>
    <row r="74" spans="1:19" s="297" customFormat="1" ht="18.75" customHeight="1">
      <c r="A74" s="527">
        <v>8</v>
      </c>
      <c r="B74" s="298" t="s">
        <v>649</v>
      </c>
      <c r="C74" s="394"/>
      <c r="D74" s="343"/>
      <c r="E74" s="344"/>
      <c r="F74" s="344"/>
      <c r="G74" s="394"/>
      <c r="H74" s="343"/>
      <c r="I74" s="346">
        <f>SUM(I76:I84)</f>
        <v>113000</v>
      </c>
      <c r="J74" s="346">
        <f t="shared" ref="J74:Q74" si="18">SUM(J76:J84)</f>
        <v>0</v>
      </c>
      <c r="K74" s="346">
        <f t="shared" si="18"/>
        <v>113000</v>
      </c>
      <c r="L74" s="346">
        <f t="shared" si="18"/>
        <v>0</v>
      </c>
      <c r="M74" s="346">
        <f t="shared" si="18"/>
        <v>0</v>
      </c>
      <c r="N74" s="346">
        <f t="shared" si="18"/>
        <v>0</v>
      </c>
      <c r="O74" s="346">
        <f t="shared" si="18"/>
        <v>113000</v>
      </c>
      <c r="P74" s="346">
        <f t="shared" si="18"/>
        <v>0</v>
      </c>
      <c r="Q74" s="346">
        <f t="shared" si="18"/>
        <v>113000</v>
      </c>
      <c r="R74" s="346"/>
      <c r="S74" s="344"/>
    </row>
    <row r="75" spans="1:19" s="297" customFormat="1" outlineLevel="1" collapsed="1">
      <c r="A75" s="323"/>
      <c r="B75" s="281" t="s">
        <v>918</v>
      </c>
      <c r="C75" s="393"/>
      <c r="D75" s="324"/>
      <c r="E75" s="339"/>
      <c r="F75" s="339"/>
      <c r="G75" s="393"/>
      <c r="H75" s="324"/>
      <c r="I75" s="325">
        <f>SUM(I76:I84)</f>
        <v>113000</v>
      </c>
      <c r="J75" s="325">
        <f t="shared" ref="J75:Q75" si="19">SUM(J76:J84)</f>
        <v>0</v>
      </c>
      <c r="K75" s="325">
        <f t="shared" si="19"/>
        <v>113000</v>
      </c>
      <c r="L75" s="325">
        <f t="shared" si="19"/>
        <v>0</v>
      </c>
      <c r="M75" s="325">
        <f t="shared" si="19"/>
        <v>0</v>
      </c>
      <c r="N75" s="325">
        <f t="shared" si="19"/>
        <v>0</v>
      </c>
      <c r="O75" s="325">
        <f t="shared" si="19"/>
        <v>113000</v>
      </c>
      <c r="P75" s="325">
        <f t="shared" si="19"/>
        <v>0</v>
      </c>
      <c r="Q75" s="325">
        <f t="shared" si="19"/>
        <v>113000</v>
      </c>
      <c r="R75" s="325"/>
      <c r="S75" s="387"/>
    </row>
    <row r="76" spans="1:19" ht="45" outlineLevel="2">
      <c r="A76" s="254">
        <f>MAX(A$14:$A75)+1</f>
        <v>48</v>
      </c>
      <c r="B76" s="492" t="s">
        <v>650</v>
      </c>
      <c r="C76" s="263" t="s">
        <v>649</v>
      </c>
      <c r="D76" s="293" t="s">
        <v>173</v>
      </c>
      <c r="E76" s="337"/>
      <c r="F76" s="337"/>
      <c r="G76" s="263" t="s">
        <v>212</v>
      </c>
      <c r="H76" s="293"/>
      <c r="I76" s="493">
        <v>15000</v>
      </c>
      <c r="J76" s="488"/>
      <c r="K76" s="493">
        <v>15000</v>
      </c>
      <c r="L76" s="488"/>
      <c r="M76" s="488"/>
      <c r="N76" s="488"/>
      <c r="O76" s="493">
        <v>15000</v>
      </c>
      <c r="P76" s="488"/>
      <c r="Q76" s="493">
        <v>15000</v>
      </c>
      <c r="R76" s="963" t="s">
        <v>942</v>
      </c>
      <c r="S76" s="957" t="s">
        <v>1011</v>
      </c>
    </row>
    <row r="77" spans="1:19" ht="45" outlineLevel="2">
      <c r="A77" s="254">
        <f>MAX(A$14:$A76)+1</f>
        <v>49</v>
      </c>
      <c r="B77" s="492" t="s">
        <v>651</v>
      </c>
      <c r="C77" s="263" t="s">
        <v>649</v>
      </c>
      <c r="D77" s="293" t="s">
        <v>173</v>
      </c>
      <c r="E77" s="337"/>
      <c r="F77" s="337"/>
      <c r="G77" s="263" t="s">
        <v>428</v>
      </c>
      <c r="H77" s="293"/>
      <c r="I77" s="493">
        <v>25000</v>
      </c>
      <c r="J77" s="488"/>
      <c r="K77" s="493">
        <v>25000</v>
      </c>
      <c r="L77" s="488"/>
      <c r="M77" s="488"/>
      <c r="N77" s="488"/>
      <c r="O77" s="493">
        <v>25000</v>
      </c>
      <c r="P77" s="488"/>
      <c r="Q77" s="493">
        <v>25000</v>
      </c>
      <c r="R77" s="964"/>
      <c r="S77" s="958"/>
    </row>
    <row r="78" spans="1:19" ht="34.15" customHeight="1" outlineLevel="2">
      <c r="A78" s="254">
        <f>MAX(A$14:$A77)+1</f>
        <v>50</v>
      </c>
      <c r="B78" s="492" t="s">
        <v>652</v>
      </c>
      <c r="C78" s="263" t="s">
        <v>649</v>
      </c>
      <c r="D78" s="293" t="s">
        <v>173</v>
      </c>
      <c r="E78" s="337"/>
      <c r="F78" s="337"/>
      <c r="G78" s="263" t="s">
        <v>212</v>
      </c>
      <c r="H78" s="293"/>
      <c r="I78" s="493">
        <v>15000</v>
      </c>
      <c r="J78" s="488"/>
      <c r="K78" s="493">
        <v>15000</v>
      </c>
      <c r="L78" s="488"/>
      <c r="M78" s="488"/>
      <c r="N78" s="488"/>
      <c r="O78" s="493">
        <v>15000</v>
      </c>
      <c r="P78" s="488"/>
      <c r="Q78" s="493">
        <v>15000</v>
      </c>
      <c r="R78" s="964"/>
      <c r="S78" s="958"/>
    </row>
    <row r="79" spans="1:19" ht="30" outlineLevel="2">
      <c r="A79" s="254">
        <f>MAX(A$14:$A78)+1</f>
        <v>51</v>
      </c>
      <c r="B79" s="492" t="s">
        <v>653</v>
      </c>
      <c r="C79" s="263" t="s">
        <v>649</v>
      </c>
      <c r="D79" s="293" t="s">
        <v>173</v>
      </c>
      <c r="E79" s="337"/>
      <c r="F79" s="337"/>
      <c r="G79" s="263" t="s">
        <v>428</v>
      </c>
      <c r="H79" s="293"/>
      <c r="I79" s="493">
        <v>5000</v>
      </c>
      <c r="J79" s="488"/>
      <c r="K79" s="493">
        <v>5000</v>
      </c>
      <c r="L79" s="488"/>
      <c r="M79" s="488"/>
      <c r="N79" s="488"/>
      <c r="O79" s="493">
        <v>5000</v>
      </c>
      <c r="P79" s="488"/>
      <c r="Q79" s="493">
        <v>5000</v>
      </c>
      <c r="R79" s="964"/>
      <c r="S79" s="958"/>
    </row>
    <row r="80" spans="1:19" ht="30" outlineLevel="2">
      <c r="A80" s="254">
        <f>MAX(A$14:$A79)+1</f>
        <v>52</v>
      </c>
      <c r="B80" s="492" t="s">
        <v>654</v>
      </c>
      <c r="C80" s="263" t="s">
        <v>649</v>
      </c>
      <c r="D80" s="293" t="s">
        <v>173</v>
      </c>
      <c r="E80" s="337"/>
      <c r="F80" s="337"/>
      <c r="G80" s="263" t="s">
        <v>234</v>
      </c>
      <c r="H80" s="293"/>
      <c r="I80" s="493">
        <v>12000</v>
      </c>
      <c r="J80" s="488"/>
      <c r="K80" s="493">
        <v>12000</v>
      </c>
      <c r="L80" s="488"/>
      <c r="M80" s="488"/>
      <c r="N80" s="488"/>
      <c r="O80" s="493">
        <v>12000</v>
      </c>
      <c r="P80" s="488"/>
      <c r="Q80" s="493">
        <v>12000</v>
      </c>
      <c r="R80" s="964"/>
      <c r="S80" s="958"/>
    </row>
    <row r="81" spans="1:19" ht="30" outlineLevel="2">
      <c r="A81" s="254">
        <f>MAX(A$14:$A80)+1</f>
        <v>53</v>
      </c>
      <c r="B81" s="492" t="s">
        <v>655</v>
      </c>
      <c r="C81" s="263" t="s">
        <v>649</v>
      </c>
      <c r="D81" s="293" t="s">
        <v>173</v>
      </c>
      <c r="E81" s="337"/>
      <c r="F81" s="337"/>
      <c r="G81" s="263" t="s">
        <v>428</v>
      </c>
      <c r="H81" s="293"/>
      <c r="I81" s="493">
        <v>12000</v>
      </c>
      <c r="J81" s="488"/>
      <c r="K81" s="493">
        <v>12000</v>
      </c>
      <c r="L81" s="488"/>
      <c r="M81" s="488"/>
      <c r="N81" s="488"/>
      <c r="O81" s="493">
        <v>12000</v>
      </c>
      <c r="P81" s="488"/>
      <c r="Q81" s="493">
        <v>12000</v>
      </c>
      <c r="R81" s="964"/>
      <c r="S81" s="958"/>
    </row>
    <row r="82" spans="1:19" ht="30" outlineLevel="2">
      <c r="A82" s="254">
        <f>MAX(A$14:$A81)+1</f>
        <v>54</v>
      </c>
      <c r="B82" s="492" t="s">
        <v>656</v>
      </c>
      <c r="C82" s="263" t="s">
        <v>649</v>
      </c>
      <c r="D82" s="293" t="s">
        <v>173</v>
      </c>
      <c r="E82" s="337"/>
      <c r="F82" s="337"/>
      <c r="G82" s="263" t="s">
        <v>212</v>
      </c>
      <c r="H82" s="293"/>
      <c r="I82" s="493">
        <v>10000</v>
      </c>
      <c r="J82" s="488"/>
      <c r="K82" s="493">
        <v>10000</v>
      </c>
      <c r="L82" s="488"/>
      <c r="M82" s="488"/>
      <c r="N82" s="488"/>
      <c r="O82" s="493">
        <v>10000</v>
      </c>
      <c r="P82" s="488"/>
      <c r="Q82" s="493">
        <v>10000</v>
      </c>
      <c r="R82" s="964"/>
      <c r="S82" s="958"/>
    </row>
    <row r="83" spans="1:19" ht="45" outlineLevel="2">
      <c r="A83" s="254">
        <f>MAX(A$14:$A82)+1</f>
        <v>55</v>
      </c>
      <c r="B83" s="492" t="s">
        <v>658</v>
      </c>
      <c r="C83" s="263" t="s">
        <v>649</v>
      </c>
      <c r="D83" s="293" t="s">
        <v>173</v>
      </c>
      <c r="E83" s="337"/>
      <c r="F83" s="337"/>
      <c r="G83" s="263" t="s">
        <v>212</v>
      </c>
      <c r="H83" s="293"/>
      <c r="I83" s="493">
        <v>12000</v>
      </c>
      <c r="J83" s="488"/>
      <c r="K83" s="493">
        <v>12000</v>
      </c>
      <c r="L83" s="488"/>
      <c r="M83" s="488"/>
      <c r="N83" s="488"/>
      <c r="O83" s="493">
        <v>12000</v>
      </c>
      <c r="P83" s="488"/>
      <c r="Q83" s="493">
        <v>12000</v>
      </c>
      <c r="R83" s="964"/>
      <c r="S83" s="958"/>
    </row>
    <row r="84" spans="1:19" ht="45" outlineLevel="2">
      <c r="A84" s="254">
        <f>MAX(A$14:$A83)+1</f>
        <v>56</v>
      </c>
      <c r="B84" s="492" t="s">
        <v>659</v>
      </c>
      <c r="C84" s="263" t="s">
        <v>649</v>
      </c>
      <c r="D84" s="293" t="s">
        <v>173</v>
      </c>
      <c r="E84" s="337"/>
      <c r="F84" s="337"/>
      <c r="G84" s="263" t="s">
        <v>234</v>
      </c>
      <c r="H84" s="293"/>
      <c r="I84" s="493">
        <v>7000</v>
      </c>
      <c r="J84" s="488"/>
      <c r="K84" s="493">
        <v>7000</v>
      </c>
      <c r="L84" s="488"/>
      <c r="M84" s="488"/>
      <c r="N84" s="488"/>
      <c r="O84" s="493">
        <v>7000</v>
      </c>
      <c r="P84" s="488"/>
      <c r="Q84" s="493">
        <v>7000</v>
      </c>
      <c r="R84" s="965"/>
      <c r="S84" s="959"/>
    </row>
    <row r="85" spans="1:19" s="297" customFormat="1" ht="18.75" customHeight="1">
      <c r="A85" s="527">
        <v>9</v>
      </c>
      <c r="B85" s="298" t="s">
        <v>995</v>
      </c>
      <c r="C85" s="394"/>
      <c r="D85" s="343"/>
      <c r="E85" s="344"/>
      <c r="F85" s="344"/>
      <c r="G85" s="394"/>
      <c r="H85" s="343"/>
      <c r="I85" s="346">
        <f>I87</f>
        <v>1144203</v>
      </c>
      <c r="J85" s="346">
        <f t="shared" ref="J85:O85" si="20">J87</f>
        <v>0</v>
      </c>
      <c r="K85" s="346">
        <f t="shared" si="20"/>
        <v>0</v>
      </c>
      <c r="L85" s="346">
        <f t="shared" si="20"/>
        <v>1144203</v>
      </c>
      <c r="M85" s="346">
        <f t="shared" si="20"/>
        <v>1144203</v>
      </c>
      <c r="N85" s="346">
        <f t="shared" si="20"/>
        <v>1144203</v>
      </c>
      <c r="O85" s="346">
        <f t="shared" si="20"/>
        <v>1144203</v>
      </c>
      <c r="P85" s="346">
        <f>SUM(P87:P95)</f>
        <v>0</v>
      </c>
      <c r="Q85" s="346">
        <f>SUM(Q87:Q95)</f>
        <v>5219500</v>
      </c>
      <c r="R85" s="346"/>
      <c r="S85" s="344"/>
    </row>
    <row r="86" spans="1:19" s="297" customFormat="1" outlineLevel="1" collapsed="1">
      <c r="A86" s="323"/>
      <c r="B86" s="281" t="s">
        <v>996</v>
      </c>
      <c r="C86" s="393"/>
      <c r="D86" s="324"/>
      <c r="E86" s="339"/>
      <c r="F86" s="339"/>
      <c r="G86" s="393"/>
      <c r="H86" s="324"/>
      <c r="I86" s="325">
        <f>I87</f>
        <v>1144203</v>
      </c>
      <c r="J86" s="325">
        <f t="shared" ref="J86:O86" si="21">J87</f>
        <v>0</v>
      </c>
      <c r="K86" s="325">
        <f t="shared" si="21"/>
        <v>0</v>
      </c>
      <c r="L86" s="325">
        <f t="shared" si="21"/>
        <v>1144203</v>
      </c>
      <c r="M86" s="325">
        <f t="shared" si="21"/>
        <v>1144203</v>
      </c>
      <c r="N86" s="325">
        <f t="shared" si="21"/>
        <v>1144203</v>
      </c>
      <c r="O86" s="325">
        <f t="shared" si="21"/>
        <v>1144203</v>
      </c>
      <c r="P86" s="325">
        <f>SUM(P87:P95)</f>
        <v>0</v>
      </c>
      <c r="Q86" s="325">
        <f>SUM(Q87:Q95)</f>
        <v>5219500</v>
      </c>
      <c r="R86" s="325"/>
      <c r="S86" s="387"/>
    </row>
    <row r="87" spans="1:19" ht="30" outlineLevel="2">
      <c r="A87" s="254">
        <f>MAX(A$14:$A86)+1</f>
        <v>57</v>
      </c>
      <c r="B87" s="492" t="s">
        <v>997</v>
      </c>
      <c r="C87" s="263" t="s">
        <v>995</v>
      </c>
      <c r="D87" s="293"/>
      <c r="E87" s="337"/>
      <c r="F87" s="337"/>
      <c r="G87" s="263" t="s">
        <v>212</v>
      </c>
      <c r="H87" s="293"/>
      <c r="I87" s="493">
        <v>1144203</v>
      </c>
      <c r="J87" s="493"/>
      <c r="K87" s="493"/>
      <c r="L87" s="493">
        <v>1144203</v>
      </c>
      <c r="M87" s="493">
        <v>1144203</v>
      </c>
      <c r="N87" s="493">
        <v>1144203</v>
      </c>
      <c r="O87" s="493">
        <v>1144203</v>
      </c>
      <c r="P87" s="488"/>
      <c r="Q87" s="493">
        <v>15000</v>
      </c>
      <c r="R87" s="724" t="s">
        <v>998</v>
      </c>
      <c r="S87" s="486" t="s">
        <v>1012</v>
      </c>
    </row>
    <row r="88" spans="1:19" s="297" customFormat="1" ht="21.75" customHeight="1">
      <c r="A88" s="537" t="s">
        <v>101</v>
      </c>
      <c r="B88" s="538" t="s">
        <v>661</v>
      </c>
      <c r="C88" s="540"/>
      <c r="D88" s="537"/>
      <c r="E88" s="539"/>
      <c r="F88" s="539"/>
      <c r="G88" s="540"/>
      <c r="H88" s="537"/>
      <c r="I88" s="541">
        <f>I89+I98+I103+I105+I107+I110+I112+I115</f>
        <v>2840500</v>
      </c>
      <c r="J88" s="541">
        <f t="shared" ref="J88:O88" si="22">J89+J98+J103+J105+J107+J110+J112+J115</f>
        <v>0</v>
      </c>
      <c r="K88" s="541">
        <f t="shared" si="22"/>
        <v>2325500</v>
      </c>
      <c r="L88" s="541">
        <f t="shared" si="22"/>
        <v>0</v>
      </c>
      <c r="M88" s="541">
        <f t="shared" si="22"/>
        <v>0</v>
      </c>
      <c r="N88" s="541">
        <f t="shared" si="22"/>
        <v>0</v>
      </c>
      <c r="O88" s="541">
        <f t="shared" si="22"/>
        <v>2820500</v>
      </c>
      <c r="P88" s="541">
        <f>P89+P98+P103+P105+P107+P110+P112+P115</f>
        <v>0</v>
      </c>
      <c r="Q88" s="541">
        <f>Q89+Q98+Q103+Q105+Q107+Q110+Q112+Q115</f>
        <v>2820500</v>
      </c>
      <c r="R88" s="541">
        <f>R89+R98+R103+R105+R107+R110+R112+R115</f>
        <v>0</v>
      </c>
      <c r="S88" s="542"/>
    </row>
    <row r="89" spans="1:19" s="297" customFormat="1" ht="18.75" customHeight="1">
      <c r="A89" s="527">
        <v>1</v>
      </c>
      <c r="B89" s="298" t="s">
        <v>185</v>
      </c>
      <c r="C89" s="394"/>
      <c r="D89" s="343"/>
      <c r="E89" s="344"/>
      <c r="F89" s="344"/>
      <c r="G89" s="394"/>
      <c r="H89" s="343"/>
      <c r="I89" s="346">
        <f t="shared" ref="I89:Q89" si="23">SUM(I90:I97)</f>
        <v>1462000</v>
      </c>
      <c r="J89" s="346">
        <f t="shared" si="23"/>
        <v>0</v>
      </c>
      <c r="K89" s="346">
        <f t="shared" si="23"/>
        <v>1462000</v>
      </c>
      <c r="L89" s="346">
        <f t="shared" si="23"/>
        <v>0</v>
      </c>
      <c r="M89" s="346">
        <f t="shared" si="23"/>
        <v>0</v>
      </c>
      <c r="N89" s="346">
        <f t="shared" si="23"/>
        <v>0</v>
      </c>
      <c r="O89" s="346">
        <f t="shared" si="23"/>
        <v>1462000</v>
      </c>
      <c r="P89" s="346">
        <f t="shared" si="23"/>
        <v>0</v>
      </c>
      <c r="Q89" s="346">
        <f t="shared" si="23"/>
        <v>1462000</v>
      </c>
      <c r="R89" s="346"/>
      <c r="S89" s="344"/>
    </row>
    <row r="90" spans="1:19" ht="45" outlineLevel="1">
      <c r="A90" s="254">
        <f>MAX(A$14:$A89)+1</f>
        <v>58</v>
      </c>
      <c r="B90" s="255" t="s">
        <v>677</v>
      </c>
      <c r="C90" s="263" t="s">
        <v>674</v>
      </c>
      <c r="D90" s="293" t="s">
        <v>101</v>
      </c>
      <c r="E90" s="337" t="s">
        <v>678</v>
      </c>
      <c r="F90" s="337" t="s">
        <v>679</v>
      </c>
      <c r="G90" s="293" t="s">
        <v>300</v>
      </c>
      <c r="H90" s="293"/>
      <c r="I90" s="294">
        <v>320000</v>
      </c>
      <c r="J90" s="295"/>
      <c r="K90" s="295">
        <v>320000</v>
      </c>
      <c r="L90" s="295"/>
      <c r="M90" s="295"/>
      <c r="N90" s="295"/>
      <c r="O90" s="294">
        <f t="shared" ref="O90:O97" si="24">P90+Q90</f>
        <v>320000</v>
      </c>
      <c r="P90" s="295"/>
      <c r="Q90" s="295">
        <v>320000</v>
      </c>
      <c r="R90" s="295"/>
      <c r="S90" s="960" t="s">
        <v>1013</v>
      </c>
    </row>
    <row r="91" spans="1:19" ht="36" outlineLevel="1">
      <c r="A91" s="254">
        <f>MAX(A$14:$A90)+1</f>
        <v>59</v>
      </c>
      <c r="B91" s="255" t="s">
        <v>680</v>
      </c>
      <c r="C91" s="263" t="s">
        <v>185</v>
      </c>
      <c r="D91" s="293" t="s">
        <v>101</v>
      </c>
      <c r="E91" s="337" t="s">
        <v>681</v>
      </c>
      <c r="F91" s="337" t="s">
        <v>682</v>
      </c>
      <c r="G91" s="293" t="s">
        <v>300</v>
      </c>
      <c r="H91" s="293"/>
      <c r="I91" s="294">
        <v>200000</v>
      </c>
      <c r="J91" s="295"/>
      <c r="K91" s="295">
        <v>200000</v>
      </c>
      <c r="L91" s="295"/>
      <c r="M91" s="295"/>
      <c r="N91" s="295"/>
      <c r="O91" s="294">
        <f t="shared" si="24"/>
        <v>200000</v>
      </c>
      <c r="P91" s="295"/>
      <c r="Q91" s="295">
        <v>200000</v>
      </c>
      <c r="R91" s="295"/>
      <c r="S91" s="961"/>
    </row>
    <row r="92" spans="1:19" ht="30" outlineLevel="1">
      <c r="A92" s="254">
        <f>MAX(A$14:$A91)+1</f>
        <v>60</v>
      </c>
      <c r="B92" s="255" t="s">
        <v>683</v>
      </c>
      <c r="C92" s="263" t="s">
        <v>674</v>
      </c>
      <c r="D92" s="293" t="s">
        <v>101</v>
      </c>
      <c r="E92" s="337" t="s">
        <v>684</v>
      </c>
      <c r="F92" s="337" t="s">
        <v>685</v>
      </c>
      <c r="G92" s="293" t="s">
        <v>300</v>
      </c>
      <c r="H92" s="293"/>
      <c r="I92" s="294">
        <v>130000</v>
      </c>
      <c r="J92" s="295"/>
      <c r="K92" s="295">
        <v>130000</v>
      </c>
      <c r="L92" s="295"/>
      <c r="M92" s="295"/>
      <c r="N92" s="295"/>
      <c r="O92" s="294">
        <f t="shared" si="24"/>
        <v>130000</v>
      </c>
      <c r="P92" s="295"/>
      <c r="Q92" s="295">
        <v>130000</v>
      </c>
      <c r="R92" s="295"/>
      <c r="S92" s="961"/>
    </row>
    <row r="93" spans="1:19" ht="30" outlineLevel="1">
      <c r="A93" s="254">
        <f>MAX(A$14:$A92)+1</f>
        <v>61</v>
      </c>
      <c r="B93" s="255" t="s">
        <v>686</v>
      </c>
      <c r="C93" s="263" t="s">
        <v>674</v>
      </c>
      <c r="D93" s="293" t="s">
        <v>101</v>
      </c>
      <c r="E93" s="337" t="s">
        <v>687</v>
      </c>
      <c r="F93" s="337" t="s">
        <v>688</v>
      </c>
      <c r="G93" s="293" t="s">
        <v>300</v>
      </c>
      <c r="H93" s="293"/>
      <c r="I93" s="294">
        <v>150000</v>
      </c>
      <c r="J93" s="295"/>
      <c r="K93" s="295">
        <v>150000</v>
      </c>
      <c r="L93" s="295"/>
      <c r="M93" s="295"/>
      <c r="N93" s="295"/>
      <c r="O93" s="294">
        <f t="shared" si="24"/>
        <v>150000</v>
      </c>
      <c r="P93" s="295"/>
      <c r="Q93" s="295">
        <v>150000</v>
      </c>
      <c r="R93" s="295"/>
      <c r="S93" s="961"/>
    </row>
    <row r="94" spans="1:19" ht="45" outlineLevel="1">
      <c r="A94" s="254">
        <f>MAX(A$14:$A93)+1</f>
        <v>62</v>
      </c>
      <c r="B94" s="255" t="s">
        <v>689</v>
      </c>
      <c r="C94" s="263" t="s">
        <v>674</v>
      </c>
      <c r="D94" s="293" t="s">
        <v>173</v>
      </c>
      <c r="E94" s="337" t="s">
        <v>687</v>
      </c>
      <c r="F94" s="337" t="s">
        <v>690</v>
      </c>
      <c r="G94" s="293" t="s">
        <v>300</v>
      </c>
      <c r="H94" s="293"/>
      <c r="I94" s="294">
        <v>50000</v>
      </c>
      <c r="J94" s="295"/>
      <c r="K94" s="295">
        <v>50000</v>
      </c>
      <c r="L94" s="295"/>
      <c r="M94" s="295"/>
      <c r="N94" s="295"/>
      <c r="O94" s="294">
        <f t="shared" si="24"/>
        <v>50000</v>
      </c>
      <c r="P94" s="295"/>
      <c r="Q94" s="295">
        <v>50000</v>
      </c>
      <c r="R94" s="295"/>
      <c r="S94" s="961"/>
    </row>
    <row r="95" spans="1:19" ht="36" outlineLevel="1">
      <c r="A95" s="254">
        <f>MAX(A$14:$A94)+1</f>
        <v>63</v>
      </c>
      <c r="B95" s="255" t="s">
        <v>691</v>
      </c>
      <c r="C95" s="263" t="s">
        <v>674</v>
      </c>
      <c r="D95" s="293" t="s">
        <v>173</v>
      </c>
      <c r="E95" s="337" t="s">
        <v>692</v>
      </c>
      <c r="F95" s="337" t="s">
        <v>693</v>
      </c>
      <c r="G95" s="293" t="s">
        <v>300</v>
      </c>
      <c r="H95" s="293"/>
      <c r="I95" s="294">
        <v>72000</v>
      </c>
      <c r="J95" s="295"/>
      <c r="K95" s="295">
        <v>72000</v>
      </c>
      <c r="L95" s="295"/>
      <c r="M95" s="295"/>
      <c r="N95" s="295"/>
      <c r="O95" s="294">
        <f t="shared" si="24"/>
        <v>72000</v>
      </c>
      <c r="P95" s="295"/>
      <c r="Q95" s="295">
        <v>72000</v>
      </c>
      <c r="R95" s="295"/>
      <c r="S95" s="961"/>
    </row>
    <row r="96" spans="1:19" ht="45" outlineLevel="1">
      <c r="A96" s="254">
        <f>MAX(A$14:$A95)+1</f>
        <v>64</v>
      </c>
      <c r="B96" s="279" t="s">
        <v>694</v>
      </c>
      <c r="C96" s="263" t="s">
        <v>674</v>
      </c>
      <c r="D96" s="293" t="s">
        <v>173</v>
      </c>
      <c r="E96" s="337" t="s">
        <v>217</v>
      </c>
      <c r="F96" s="337" t="s">
        <v>695</v>
      </c>
      <c r="G96" s="293" t="s">
        <v>300</v>
      </c>
      <c r="H96" s="293"/>
      <c r="I96" s="294">
        <v>40000</v>
      </c>
      <c r="J96" s="295"/>
      <c r="K96" s="295">
        <v>40000</v>
      </c>
      <c r="L96" s="295"/>
      <c r="M96" s="295"/>
      <c r="N96" s="295"/>
      <c r="O96" s="294">
        <f t="shared" si="24"/>
        <v>40000</v>
      </c>
      <c r="P96" s="295"/>
      <c r="Q96" s="295">
        <v>40000</v>
      </c>
      <c r="R96" s="295"/>
      <c r="S96" s="961"/>
    </row>
    <row r="97" spans="1:20" ht="30" outlineLevel="1">
      <c r="A97" s="254">
        <f>MAX(A$14:$A96)+1</f>
        <v>65</v>
      </c>
      <c r="B97" s="279" t="s">
        <v>696</v>
      </c>
      <c r="C97" s="263" t="s">
        <v>674</v>
      </c>
      <c r="D97" s="293" t="s">
        <v>101</v>
      </c>
      <c r="E97" s="337" t="s">
        <v>675</v>
      </c>
      <c r="F97" s="337" t="s">
        <v>697</v>
      </c>
      <c r="G97" s="293" t="s">
        <v>300</v>
      </c>
      <c r="H97" s="293"/>
      <c r="I97" s="294">
        <v>500000</v>
      </c>
      <c r="J97" s="295"/>
      <c r="K97" s="295">
        <v>500000</v>
      </c>
      <c r="L97" s="295"/>
      <c r="M97" s="295"/>
      <c r="N97" s="295"/>
      <c r="O97" s="294">
        <f t="shared" si="24"/>
        <v>500000</v>
      </c>
      <c r="P97" s="295"/>
      <c r="Q97" s="295">
        <v>500000</v>
      </c>
      <c r="R97" s="295"/>
      <c r="S97" s="962"/>
    </row>
    <row r="98" spans="1:20" s="297" customFormat="1" ht="18.75" customHeight="1">
      <c r="A98" s="527">
        <v>2</v>
      </c>
      <c r="B98" s="298" t="s">
        <v>668</v>
      </c>
      <c r="C98" s="394"/>
      <c r="D98" s="343"/>
      <c r="E98" s="344"/>
      <c r="F98" s="344"/>
      <c r="G98" s="394"/>
      <c r="H98" s="343"/>
      <c r="I98" s="346">
        <f t="shared" ref="I98:Q98" si="25">SUM(I99:I102)</f>
        <v>430000</v>
      </c>
      <c r="J98" s="346">
        <f t="shared" si="25"/>
        <v>0</v>
      </c>
      <c r="K98" s="346">
        <f t="shared" si="25"/>
        <v>430000</v>
      </c>
      <c r="L98" s="346">
        <f t="shared" si="25"/>
        <v>0</v>
      </c>
      <c r="M98" s="346">
        <f t="shared" si="25"/>
        <v>0</v>
      </c>
      <c r="N98" s="346">
        <f t="shared" si="25"/>
        <v>0</v>
      </c>
      <c r="O98" s="346">
        <f t="shared" si="25"/>
        <v>430000</v>
      </c>
      <c r="P98" s="346">
        <f t="shared" si="25"/>
        <v>0</v>
      </c>
      <c r="Q98" s="346">
        <f t="shared" si="25"/>
        <v>430000</v>
      </c>
      <c r="R98" s="346"/>
      <c r="S98" s="344"/>
    </row>
    <row r="99" spans="1:20" ht="30" outlineLevel="1">
      <c r="A99" s="254">
        <f>MAX(A$14:$A98)+1</f>
        <v>66</v>
      </c>
      <c r="B99" s="255" t="s">
        <v>704</v>
      </c>
      <c r="C99" s="263" t="s">
        <v>674</v>
      </c>
      <c r="D99" s="293" t="s">
        <v>173</v>
      </c>
      <c r="E99" s="386" t="s">
        <v>699</v>
      </c>
      <c r="F99" s="337"/>
      <c r="G99" s="293" t="s">
        <v>700</v>
      </c>
      <c r="H99" s="515"/>
      <c r="I99" s="294">
        <v>120000</v>
      </c>
      <c r="J99" s="294"/>
      <c r="K99" s="294">
        <v>120000</v>
      </c>
      <c r="L99" s="292"/>
      <c r="M99" s="292"/>
      <c r="N99" s="292"/>
      <c r="O99" s="294">
        <v>120000</v>
      </c>
      <c r="P99" s="292"/>
      <c r="Q99" s="294">
        <v>120000</v>
      </c>
      <c r="R99" s="294"/>
      <c r="S99" s="957"/>
    </row>
    <row r="100" spans="1:20" ht="30" outlineLevel="1">
      <c r="A100" s="254">
        <f>MAX(A$14:$A99)+1</f>
        <v>67</v>
      </c>
      <c r="B100" s="255" t="s">
        <v>705</v>
      </c>
      <c r="C100" s="263" t="s">
        <v>674</v>
      </c>
      <c r="D100" s="293" t="s">
        <v>173</v>
      </c>
      <c r="E100" s="386" t="s">
        <v>699</v>
      </c>
      <c r="F100" s="337"/>
      <c r="G100" s="293" t="s">
        <v>700</v>
      </c>
      <c r="H100" s="515"/>
      <c r="I100" s="294">
        <v>65000</v>
      </c>
      <c r="J100" s="294"/>
      <c r="K100" s="294">
        <v>65000</v>
      </c>
      <c r="L100" s="292"/>
      <c r="M100" s="292"/>
      <c r="N100" s="292"/>
      <c r="O100" s="294">
        <v>65000</v>
      </c>
      <c r="P100" s="292"/>
      <c r="Q100" s="294">
        <v>65000</v>
      </c>
      <c r="R100" s="294"/>
      <c r="S100" s="958"/>
    </row>
    <row r="101" spans="1:20" ht="30" outlineLevel="1">
      <c r="A101" s="254">
        <f>MAX(A$14:$A100)+1</f>
        <v>68</v>
      </c>
      <c r="B101" s="255" t="s">
        <v>706</v>
      </c>
      <c r="C101" s="263" t="s">
        <v>674</v>
      </c>
      <c r="D101" s="293" t="s">
        <v>101</v>
      </c>
      <c r="E101" s="337" t="s">
        <v>699</v>
      </c>
      <c r="F101" s="337"/>
      <c r="G101" s="293" t="s">
        <v>700</v>
      </c>
      <c r="H101" s="293"/>
      <c r="I101" s="294">
        <v>180000</v>
      </c>
      <c r="J101" s="295"/>
      <c r="K101" s="294">
        <v>180000</v>
      </c>
      <c r="L101" s="295"/>
      <c r="M101" s="295"/>
      <c r="N101" s="295"/>
      <c r="O101" s="294">
        <v>180000</v>
      </c>
      <c r="P101" s="295"/>
      <c r="Q101" s="294">
        <v>180000</v>
      </c>
      <c r="R101" s="294"/>
      <c r="S101" s="958"/>
    </row>
    <row r="102" spans="1:20" ht="30" outlineLevel="1">
      <c r="A102" s="254">
        <f>MAX(A$14:$A101)+1</f>
        <v>69</v>
      </c>
      <c r="B102" s="255" t="s">
        <v>705</v>
      </c>
      <c r="C102" s="263" t="s">
        <v>674</v>
      </c>
      <c r="D102" s="293" t="s">
        <v>173</v>
      </c>
      <c r="E102" s="337" t="s">
        <v>699</v>
      </c>
      <c r="F102" s="337"/>
      <c r="G102" s="293" t="s">
        <v>700</v>
      </c>
      <c r="H102" s="293"/>
      <c r="I102" s="294">
        <v>65000</v>
      </c>
      <c r="J102" s="295"/>
      <c r="K102" s="294">
        <v>65000</v>
      </c>
      <c r="L102" s="295"/>
      <c r="M102" s="295"/>
      <c r="N102" s="295"/>
      <c r="O102" s="294">
        <v>65000</v>
      </c>
      <c r="P102" s="295"/>
      <c r="Q102" s="294">
        <v>65000</v>
      </c>
      <c r="R102" s="294"/>
      <c r="S102" s="959"/>
    </row>
    <row r="103" spans="1:20" s="297" customFormat="1" ht="18.75" customHeight="1">
      <c r="A103" s="527">
        <v>3</v>
      </c>
      <c r="B103" s="298" t="s">
        <v>180</v>
      </c>
      <c r="C103" s="394"/>
      <c r="D103" s="343"/>
      <c r="E103" s="344"/>
      <c r="F103" s="344"/>
      <c r="G103" s="394"/>
      <c r="H103" s="343"/>
      <c r="I103" s="346">
        <f t="shared" ref="I103:Q103" si="26">SUM(I104:I104)</f>
        <v>100000</v>
      </c>
      <c r="J103" s="346">
        <f t="shared" si="26"/>
        <v>0</v>
      </c>
      <c r="K103" s="346">
        <f t="shared" si="26"/>
        <v>80000</v>
      </c>
      <c r="L103" s="346">
        <f t="shared" si="26"/>
        <v>0</v>
      </c>
      <c r="M103" s="346">
        <f t="shared" si="26"/>
        <v>0</v>
      </c>
      <c r="N103" s="346">
        <f t="shared" si="26"/>
        <v>0</v>
      </c>
      <c r="O103" s="346">
        <f t="shared" si="26"/>
        <v>80000</v>
      </c>
      <c r="P103" s="346">
        <f t="shared" si="26"/>
        <v>0</v>
      </c>
      <c r="Q103" s="346">
        <f t="shared" si="26"/>
        <v>80000</v>
      </c>
      <c r="R103" s="346"/>
      <c r="S103" s="344"/>
    </row>
    <row r="104" spans="1:20" ht="45" outlineLevel="1">
      <c r="A104" s="254">
        <f>MAX(A$14:$A103)+1</f>
        <v>70</v>
      </c>
      <c r="B104" s="279" t="s">
        <v>727</v>
      </c>
      <c r="C104" s="263" t="s">
        <v>180</v>
      </c>
      <c r="D104" s="293" t="s">
        <v>173</v>
      </c>
      <c r="E104" s="337" t="s">
        <v>728</v>
      </c>
      <c r="F104" s="337" t="s">
        <v>729</v>
      </c>
      <c r="G104" s="293" t="s">
        <v>300</v>
      </c>
      <c r="H104" s="293"/>
      <c r="I104" s="294">
        <v>100000</v>
      </c>
      <c r="J104" s="295"/>
      <c r="K104" s="295">
        <v>80000</v>
      </c>
      <c r="L104" s="295"/>
      <c r="M104" s="295"/>
      <c r="N104" s="295"/>
      <c r="O104" s="294">
        <f>P104+Q104</f>
        <v>80000</v>
      </c>
      <c r="P104" s="295"/>
      <c r="Q104" s="295">
        <v>80000</v>
      </c>
      <c r="R104" s="295"/>
      <c r="S104" s="520"/>
    </row>
    <row r="105" spans="1:20" s="297" customFormat="1" ht="18.75" customHeight="1">
      <c r="A105" s="527">
        <v>4</v>
      </c>
      <c r="B105" s="298" t="s">
        <v>186</v>
      </c>
      <c r="C105" s="394"/>
      <c r="D105" s="343"/>
      <c r="E105" s="344"/>
      <c r="F105" s="344"/>
      <c r="G105" s="394"/>
      <c r="H105" s="343"/>
      <c r="I105" s="346">
        <f t="shared" ref="I105:Q105" si="27">SUM(I106:I106)</f>
        <v>75000</v>
      </c>
      <c r="J105" s="346">
        <f t="shared" si="27"/>
        <v>0</v>
      </c>
      <c r="K105" s="346">
        <f t="shared" si="27"/>
        <v>75000</v>
      </c>
      <c r="L105" s="346">
        <f t="shared" si="27"/>
        <v>0</v>
      </c>
      <c r="M105" s="346">
        <f t="shared" si="27"/>
        <v>0</v>
      </c>
      <c r="N105" s="346">
        <f t="shared" si="27"/>
        <v>0</v>
      </c>
      <c r="O105" s="346">
        <f t="shared" si="27"/>
        <v>75000</v>
      </c>
      <c r="P105" s="346">
        <f t="shared" si="27"/>
        <v>0</v>
      </c>
      <c r="Q105" s="346">
        <f t="shared" si="27"/>
        <v>75000</v>
      </c>
      <c r="R105" s="346"/>
      <c r="S105" s="344"/>
    </row>
    <row r="106" spans="1:20" s="297" customFormat="1" ht="30" outlineLevel="1">
      <c r="A106" s="254">
        <f>MAX(A$14:$A105)+1</f>
        <v>71</v>
      </c>
      <c r="B106" s="255" t="s">
        <v>741</v>
      </c>
      <c r="C106" s="263" t="s">
        <v>186</v>
      </c>
      <c r="D106" s="293" t="s">
        <v>173</v>
      </c>
      <c r="E106" s="337" t="s">
        <v>233</v>
      </c>
      <c r="F106" s="337"/>
      <c r="G106" s="293" t="s">
        <v>212</v>
      </c>
      <c r="H106" s="293"/>
      <c r="I106" s="294">
        <v>75000</v>
      </c>
      <c r="J106" s="295"/>
      <c r="K106" s="294">
        <v>75000</v>
      </c>
      <c r="L106" s="295"/>
      <c r="M106" s="295"/>
      <c r="N106" s="295"/>
      <c r="O106" s="294">
        <v>75000</v>
      </c>
      <c r="P106" s="294"/>
      <c r="Q106" s="294">
        <v>75000</v>
      </c>
      <c r="R106" s="294"/>
      <c r="S106" s="293"/>
    </row>
    <row r="107" spans="1:20" s="297" customFormat="1" ht="18.75" customHeight="1">
      <c r="A107" s="527">
        <v>5</v>
      </c>
      <c r="B107" s="298" t="s">
        <v>187</v>
      </c>
      <c r="C107" s="394"/>
      <c r="D107" s="343"/>
      <c r="E107" s="344"/>
      <c r="F107" s="344"/>
      <c r="G107" s="394"/>
      <c r="H107" s="343"/>
      <c r="I107" s="346">
        <f t="shared" ref="I107:Q107" si="28">SUM(I108:I109)</f>
        <v>38500</v>
      </c>
      <c r="J107" s="346">
        <f t="shared" si="28"/>
        <v>0</v>
      </c>
      <c r="K107" s="346">
        <f t="shared" si="28"/>
        <v>38500</v>
      </c>
      <c r="L107" s="346">
        <f t="shared" si="28"/>
        <v>0</v>
      </c>
      <c r="M107" s="346">
        <f t="shared" si="28"/>
        <v>0</v>
      </c>
      <c r="N107" s="346">
        <f t="shared" si="28"/>
        <v>0</v>
      </c>
      <c r="O107" s="346">
        <f t="shared" si="28"/>
        <v>38500</v>
      </c>
      <c r="P107" s="346">
        <f t="shared" si="28"/>
        <v>0</v>
      </c>
      <c r="Q107" s="346">
        <f t="shared" si="28"/>
        <v>38500</v>
      </c>
      <c r="R107" s="346"/>
      <c r="S107" s="344"/>
    </row>
    <row r="108" spans="1:20" ht="60" outlineLevel="1">
      <c r="A108" s="714">
        <f>MAX(A$14:$A107)+1</f>
        <v>72</v>
      </c>
      <c r="B108" s="268" t="s">
        <v>764</v>
      </c>
      <c r="C108" s="558" t="s">
        <v>187</v>
      </c>
      <c r="D108" s="276" t="s">
        <v>173</v>
      </c>
      <c r="E108" s="617" t="s">
        <v>765</v>
      </c>
      <c r="F108" s="340" t="s">
        <v>766</v>
      </c>
      <c r="G108" s="276"/>
      <c r="H108" s="509"/>
      <c r="I108" s="612">
        <v>14500</v>
      </c>
      <c r="J108" s="612"/>
      <c r="K108" s="612">
        <v>14500</v>
      </c>
      <c r="L108" s="612"/>
      <c r="M108" s="612"/>
      <c r="N108" s="612"/>
      <c r="O108" s="612">
        <f>P108+Q108</f>
        <v>14500</v>
      </c>
      <c r="P108" s="612"/>
      <c r="Q108" s="612">
        <v>14500</v>
      </c>
      <c r="R108" s="612"/>
      <c r="S108" s="508"/>
      <c r="T108" s="773">
        <f>Q108</f>
        <v>14500</v>
      </c>
    </row>
    <row r="109" spans="1:20" ht="25.5" outlineLevel="1">
      <c r="A109" s="714">
        <f>MAX(A$14:$A108)+1</f>
        <v>73</v>
      </c>
      <c r="B109" s="268" t="s">
        <v>773</v>
      </c>
      <c r="C109" s="558" t="s">
        <v>187</v>
      </c>
      <c r="D109" s="276" t="s">
        <v>173</v>
      </c>
      <c r="E109" s="340" t="s">
        <v>774</v>
      </c>
      <c r="F109" s="340" t="s">
        <v>775</v>
      </c>
      <c r="G109" s="276"/>
      <c r="H109" s="276"/>
      <c r="I109" s="612">
        <v>24000</v>
      </c>
      <c r="J109" s="309"/>
      <c r="K109" s="309">
        <v>24000</v>
      </c>
      <c r="L109" s="309"/>
      <c r="M109" s="309"/>
      <c r="N109" s="309"/>
      <c r="O109" s="612">
        <f>P109+Q109</f>
        <v>24000</v>
      </c>
      <c r="P109" s="309"/>
      <c r="Q109" s="309">
        <v>24000</v>
      </c>
      <c r="R109" s="309"/>
      <c r="S109" s="276"/>
      <c r="T109" s="773">
        <v>24</v>
      </c>
    </row>
    <row r="110" spans="1:20" s="297" customFormat="1" ht="18.75" customHeight="1">
      <c r="A110" s="527">
        <v>6</v>
      </c>
      <c r="B110" s="298" t="s">
        <v>188</v>
      </c>
      <c r="C110" s="394"/>
      <c r="D110" s="343"/>
      <c r="E110" s="344"/>
      <c r="F110" s="344"/>
      <c r="G110" s="394"/>
      <c r="H110" s="343"/>
      <c r="I110" s="346">
        <f t="shared" ref="I110:Q110" si="29">SUM(I111:I111)</f>
        <v>120000</v>
      </c>
      <c r="J110" s="346">
        <f t="shared" si="29"/>
        <v>0</v>
      </c>
      <c r="K110" s="346">
        <f t="shared" si="29"/>
        <v>120000</v>
      </c>
      <c r="L110" s="346">
        <f t="shared" si="29"/>
        <v>0</v>
      </c>
      <c r="M110" s="346">
        <f t="shared" si="29"/>
        <v>0</v>
      </c>
      <c r="N110" s="346">
        <f t="shared" si="29"/>
        <v>0</v>
      </c>
      <c r="O110" s="346">
        <f t="shared" si="29"/>
        <v>120000</v>
      </c>
      <c r="P110" s="346">
        <f t="shared" si="29"/>
        <v>0</v>
      </c>
      <c r="Q110" s="346">
        <f t="shared" si="29"/>
        <v>120000</v>
      </c>
      <c r="R110" s="346"/>
      <c r="S110" s="344"/>
    </row>
    <row r="111" spans="1:20" ht="30" outlineLevel="1">
      <c r="A111" s="254">
        <f>MAX(A$14:$A110)+1</f>
        <v>74</v>
      </c>
      <c r="B111" s="255" t="s">
        <v>802</v>
      </c>
      <c r="C111" s="263" t="s">
        <v>787</v>
      </c>
      <c r="D111" s="293" t="s">
        <v>173</v>
      </c>
      <c r="E111" s="337" t="s">
        <v>803</v>
      </c>
      <c r="F111" s="337" t="s">
        <v>789</v>
      </c>
      <c r="G111" s="293" t="s">
        <v>428</v>
      </c>
      <c r="H111" s="293"/>
      <c r="I111" s="294">
        <v>120000</v>
      </c>
      <c r="J111" s="295"/>
      <c r="K111" s="295">
        <v>120000</v>
      </c>
      <c r="L111" s="295"/>
      <c r="M111" s="295"/>
      <c r="N111" s="295"/>
      <c r="O111" s="294">
        <v>120000</v>
      </c>
      <c r="P111" s="295"/>
      <c r="Q111" s="295">
        <v>120000</v>
      </c>
      <c r="R111" s="295"/>
      <c r="S111" s="313"/>
    </row>
    <row r="112" spans="1:20" s="297" customFormat="1" ht="18.75" customHeight="1">
      <c r="A112" s="527">
        <v>7</v>
      </c>
      <c r="B112" s="298" t="s">
        <v>671</v>
      </c>
      <c r="C112" s="394"/>
      <c r="D112" s="343"/>
      <c r="E112" s="344"/>
      <c r="F112" s="344"/>
      <c r="G112" s="394"/>
      <c r="H112" s="343"/>
      <c r="I112" s="346">
        <f t="shared" ref="I112:Q112" si="30">SUM(I113:I114)</f>
        <v>120000</v>
      </c>
      <c r="J112" s="346">
        <f t="shared" si="30"/>
        <v>0</v>
      </c>
      <c r="K112" s="346">
        <f t="shared" si="30"/>
        <v>120000</v>
      </c>
      <c r="L112" s="346">
        <f t="shared" si="30"/>
        <v>0</v>
      </c>
      <c r="M112" s="346">
        <f t="shared" si="30"/>
        <v>0</v>
      </c>
      <c r="N112" s="346">
        <f t="shared" si="30"/>
        <v>0</v>
      </c>
      <c r="O112" s="346">
        <f t="shared" si="30"/>
        <v>120000</v>
      </c>
      <c r="P112" s="346">
        <f t="shared" si="30"/>
        <v>0</v>
      </c>
      <c r="Q112" s="346">
        <f t="shared" si="30"/>
        <v>120000</v>
      </c>
      <c r="R112" s="346"/>
      <c r="S112" s="344"/>
    </row>
    <row r="113" spans="1:19" ht="30" outlineLevel="1">
      <c r="A113" s="254">
        <f>MAX(A$14:$A112)+1</f>
        <v>75</v>
      </c>
      <c r="B113" s="255" t="s">
        <v>813</v>
      </c>
      <c r="C113" s="263" t="s">
        <v>674</v>
      </c>
      <c r="D113" s="293" t="s">
        <v>173</v>
      </c>
      <c r="E113" s="337" t="s">
        <v>807</v>
      </c>
      <c r="F113" s="337"/>
      <c r="G113" s="293" t="s">
        <v>300</v>
      </c>
      <c r="H113" s="293"/>
      <c r="I113" s="294">
        <v>80000</v>
      </c>
      <c r="J113" s="295"/>
      <c r="K113" s="295">
        <v>80000</v>
      </c>
      <c r="L113" s="295"/>
      <c r="M113" s="295"/>
      <c r="N113" s="295"/>
      <c r="O113" s="294">
        <v>80000</v>
      </c>
      <c r="P113" s="295"/>
      <c r="Q113" s="295">
        <v>80000</v>
      </c>
      <c r="R113" s="295"/>
      <c r="S113" s="293"/>
    </row>
    <row r="114" spans="1:19" ht="48" outlineLevel="1">
      <c r="A114" s="254">
        <f>MAX(A$14:$A113)+1</f>
        <v>76</v>
      </c>
      <c r="B114" s="255" t="s">
        <v>814</v>
      </c>
      <c r="C114" s="263" t="s">
        <v>674</v>
      </c>
      <c r="D114" s="293" t="s">
        <v>173</v>
      </c>
      <c r="E114" s="337" t="s">
        <v>807</v>
      </c>
      <c r="F114" s="337" t="s">
        <v>815</v>
      </c>
      <c r="G114" s="293" t="s">
        <v>300</v>
      </c>
      <c r="H114" s="293"/>
      <c r="I114" s="294">
        <v>40000</v>
      </c>
      <c r="J114" s="295"/>
      <c r="K114" s="295">
        <v>40000</v>
      </c>
      <c r="L114" s="295"/>
      <c r="M114" s="295"/>
      <c r="N114" s="295"/>
      <c r="O114" s="294">
        <v>40000</v>
      </c>
      <c r="P114" s="295"/>
      <c r="Q114" s="295">
        <v>40000</v>
      </c>
      <c r="R114" s="295"/>
      <c r="S114" s="293"/>
    </row>
    <row r="115" spans="1:19" s="297" customFormat="1" ht="18.75" customHeight="1">
      <c r="A115" s="527">
        <v>8</v>
      </c>
      <c r="B115" s="298" t="s">
        <v>672</v>
      </c>
      <c r="C115" s="394"/>
      <c r="D115" s="343"/>
      <c r="E115" s="344"/>
      <c r="F115" s="344"/>
      <c r="G115" s="394"/>
      <c r="H115" s="343"/>
      <c r="I115" s="346">
        <f t="shared" ref="I115:Q115" si="31">SUM(I116:I121)</f>
        <v>495000</v>
      </c>
      <c r="J115" s="346">
        <f t="shared" si="31"/>
        <v>0</v>
      </c>
      <c r="K115" s="346">
        <f t="shared" si="31"/>
        <v>0</v>
      </c>
      <c r="L115" s="346">
        <f t="shared" si="31"/>
        <v>0</v>
      </c>
      <c r="M115" s="346">
        <f t="shared" si="31"/>
        <v>0</v>
      </c>
      <c r="N115" s="346">
        <f t="shared" si="31"/>
        <v>0</v>
      </c>
      <c r="O115" s="346">
        <f t="shared" si="31"/>
        <v>495000</v>
      </c>
      <c r="P115" s="346">
        <f t="shared" si="31"/>
        <v>0</v>
      </c>
      <c r="Q115" s="346">
        <f t="shared" si="31"/>
        <v>495000</v>
      </c>
      <c r="R115" s="346"/>
      <c r="S115" s="344"/>
    </row>
    <row r="116" spans="1:19" ht="30" outlineLevel="1">
      <c r="A116" s="254">
        <f>MAX(A$14:$A115)+1</f>
        <v>77</v>
      </c>
      <c r="B116" s="255" t="s">
        <v>828</v>
      </c>
      <c r="C116" s="263" t="s">
        <v>672</v>
      </c>
      <c r="D116" s="293" t="s">
        <v>101</v>
      </c>
      <c r="E116" s="337" t="s">
        <v>539</v>
      </c>
      <c r="F116" s="337"/>
      <c r="G116" s="293" t="s">
        <v>211</v>
      </c>
      <c r="H116" s="293"/>
      <c r="I116" s="294">
        <v>165000</v>
      </c>
      <c r="J116" s="295"/>
      <c r="K116" s="295"/>
      <c r="L116" s="295"/>
      <c r="M116" s="295"/>
      <c r="N116" s="295"/>
      <c r="O116" s="294">
        <f t="shared" ref="O116:O121" si="32">P116+Q116</f>
        <v>165000</v>
      </c>
      <c r="P116" s="295"/>
      <c r="Q116" s="295">
        <v>165000</v>
      </c>
      <c r="R116" s="295"/>
      <c r="S116" s="313"/>
    </row>
    <row r="117" spans="1:19" ht="30" outlineLevel="1">
      <c r="A117" s="254">
        <f>MAX(A$14:$A116)+1</f>
        <v>78</v>
      </c>
      <c r="B117" s="255" t="s">
        <v>829</v>
      </c>
      <c r="C117" s="263" t="s">
        <v>672</v>
      </c>
      <c r="D117" s="293" t="s">
        <v>101</v>
      </c>
      <c r="E117" s="337" t="s">
        <v>830</v>
      </c>
      <c r="F117" s="337"/>
      <c r="G117" s="293" t="s">
        <v>300</v>
      </c>
      <c r="H117" s="293"/>
      <c r="I117" s="294">
        <v>150000</v>
      </c>
      <c r="J117" s="295"/>
      <c r="K117" s="295"/>
      <c r="L117" s="295"/>
      <c r="M117" s="295"/>
      <c r="N117" s="295"/>
      <c r="O117" s="294">
        <f t="shared" si="32"/>
        <v>150000</v>
      </c>
      <c r="P117" s="295"/>
      <c r="Q117" s="295">
        <v>150000</v>
      </c>
      <c r="R117" s="295"/>
      <c r="S117" s="313"/>
    </row>
    <row r="118" spans="1:19" ht="30" outlineLevel="1">
      <c r="A118" s="254">
        <f>MAX(A$14:$A117)+1</f>
        <v>79</v>
      </c>
      <c r="B118" s="255" t="s">
        <v>831</v>
      </c>
      <c r="C118" s="263" t="s">
        <v>672</v>
      </c>
      <c r="D118" s="293" t="s">
        <v>173</v>
      </c>
      <c r="E118" s="337" t="s">
        <v>539</v>
      </c>
      <c r="F118" s="337"/>
      <c r="G118" s="293" t="s">
        <v>428</v>
      </c>
      <c r="H118" s="293"/>
      <c r="I118" s="294">
        <v>20000</v>
      </c>
      <c r="J118" s="295"/>
      <c r="K118" s="295"/>
      <c r="L118" s="295"/>
      <c r="M118" s="295"/>
      <c r="N118" s="295"/>
      <c r="O118" s="294">
        <f t="shared" si="32"/>
        <v>20000</v>
      </c>
      <c r="P118" s="295"/>
      <c r="Q118" s="295">
        <v>20000</v>
      </c>
      <c r="R118" s="295"/>
      <c r="S118" s="313"/>
    </row>
    <row r="119" spans="1:19" ht="30" outlineLevel="1">
      <c r="A119" s="254">
        <f>MAX(A$14:$A118)+1</f>
        <v>80</v>
      </c>
      <c r="B119" s="255" t="s">
        <v>832</v>
      </c>
      <c r="C119" s="263" t="s">
        <v>672</v>
      </c>
      <c r="D119" s="293" t="s">
        <v>173</v>
      </c>
      <c r="E119" s="337" t="s">
        <v>539</v>
      </c>
      <c r="F119" s="337"/>
      <c r="G119" s="293" t="s">
        <v>428</v>
      </c>
      <c r="H119" s="293"/>
      <c r="I119" s="294">
        <v>50000</v>
      </c>
      <c r="J119" s="295"/>
      <c r="K119" s="295"/>
      <c r="L119" s="295"/>
      <c r="M119" s="295"/>
      <c r="N119" s="295"/>
      <c r="O119" s="294">
        <f t="shared" si="32"/>
        <v>50000</v>
      </c>
      <c r="P119" s="295"/>
      <c r="Q119" s="295">
        <v>50000</v>
      </c>
      <c r="R119" s="295"/>
      <c r="S119" s="313"/>
    </row>
    <row r="120" spans="1:19" ht="30" outlineLevel="1">
      <c r="A120" s="254">
        <f>MAX(A$14:$A119)+1</f>
        <v>81</v>
      </c>
      <c r="B120" s="279" t="s">
        <v>833</v>
      </c>
      <c r="C120" s="263" t="s">
        <v>672</v>
      </c>
      <c r="D120" s="293" t="s">
        <v>173</v>
      </c>
      <c r="E120" s="337" t="s">
        <v>539</v>
      </c>
      <c r="F120" s="567"/>
      <c r="G120" s="293" t="s">
        <v>234</v>
      </c>
      <c r="H120" s="518"/>
      <c r="I120" s="523">
        <v>55000</v>
      </c>
      <c r="J120" s="519"/>
      <c r="K120" s="519"/>
      <c r="L120" s="519"/>
      <c r="M120" s="519"/>
      <c r="N120" s="519"/>
      <c r="O120" s="294">
        <f t="shared" si="32"/>
        <v>55000</v>
      </c>
      <c r="P120" s="295"/>
      <c r="Q120" s="295">
        <v>55000</v>
      </c>
      <c r="R120" s="295"/>
      <c r="S120" s="313"/>
    </row>
    <row r="121" spans="1:19" ht="30" outlineLevel="1">
      <c r="A121" s="254">
        <f>MAX(A$14:$A120)+1</f>
        <v>82</v>
      </c>
      <c r="B121" s="279" t="s">
        <v>834</v>
      </c>
      <c r="C121" s="263" t="s">
        <v>672</v>
      </c>
      <c r="D121" s="293" t="s">
        <v>173</v>
      </c>
      <c r="E121" s="337" t="s">
        <v>539</v>
      </c>
      <c r="F121" s="567"/>
      <c r="G121" s="293" t="s">
        <v>234</v>
      </c>
      <c r="H121" s="518"/>
      <c r="I121" s="523">
        <v>55000</v>
      </c>
      <c r="J121" s="519"/>
      <c r="K121" s="519"/>
      <c r="L121" s="519"/>
      <c r="M121" s="519"/>
      <c r="N121" s="519"/>
      <c r="O121" s="294">
        <f t="shared" si="32"/>
        <v>55000</v>
      </c>
      <c r="P121" s="295"/>
      <c r="Q121" s="295">
        <v>55000</v>
      </c>
      <c r="R121" s="295"/>
      <c r="S121" s="313"/>
    </row>
    <row r="122" spans="1:19" ht="7.15" customHeight="1">
      <c r="A122" s="273"/>
      <c r="B122" s="314"/>
      <c r="C122" s="563"/>
      <c r="D122" s="314"/>
      <c r="E122" s="341"/>
      <c r="F122" s="341"/>
      <c r="G122" s="314"/>
      <c r="H122" s="314"/>
      <c r="I122" s="314"/>
      <c r="J122" s="314"/>
      <c r="K122" s="314"/>
      <c r="L122" s="314"/>
      <c r="M122" s="314"/>
      <c r="N122" s="314"/>
      <c r="O122" s="314"/>
      <c r="P122" s="314"/>
      <c r="Q122" s="314"/>
      <c r="R122" s="314"/>
      <c r="S122" s="314"/>
    </row>
  </sheetData>
  <mergeCells count="26">
    <mergeCell ref="S99:S102"/>
    <mergeCell ref="R5:R8"/>
    <mergeCell ref="Q7:Q8"/>
    <mergeCell ref="O5:O8"/>
    <mergeCell ref="R76:R84"/>
    <mergeCell ref="F5:F8"/>
    <mergeCell ref="G5:G8"/>
    <mergeCell ref="L5:N5"/>
    <mergeCell ref="S76:S84"/>
    <mergeCell ref="S90:S97"/>
    <mergeCell ref="A1:S1"/>
    <mergeCell ref="A2:S2"/>
    <mergeCell ref="A3:S3"/>
    <mergeCell ref="A5:A8"/>
    <mergeCell ref="B5:B8"/>
    <mergeCell ref="C5:C8"/>
    <mergeCell ref="D5:D8"/>
    <mergeCell ref="E5:E8"/>
    <mergeCell ref="S5:S8"/>
    <mergeCell ref="M7:M8"/>
    <mergeCell ref="N7:N8"/>
    <mergeCell ref="P7:P8"/>
    <mergeCell ref="H5:K8"/>
    <mergeCell ref="L6:L8"/>
    <mergeCell ref="M6:N6"/>
    <mergeCell ref="P6:Q6"/>
  </mergeCells>
  <printOptions horizontalCentered="1"/>
  <pageMargins left="0.2" right="0.2" top="0.75" bottom="0.25" header="0" footer="0"/>
  <pageSetup paperSize="9" scale="8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T323"/>
  <sheetViews>
    <sheetView topLeftCell="A5" workbookViewId="0">
      <pane xSplit="2" ySplit="7" topLeftCell="C12" activePane="bottomRight" state="frozen"/>
      <selection activeCell="Z15" sqref="Z15"/>
      <selection pane="topRight" activeCell="Z15" sqref="Z15"/>
      <selection pane="bottomLeft" activeCell="Z15" sqref="Z15"/>
      <selection pane="bottomRight" activeCell="K15" sqref="K15"/>
    </sheetView>
  </sheetViews>
  <sheetFormatPr defaultRowHeight="15" outlineLevelRow="2"/>
  <cols>
    <col min="1" max="1" width="5.42578125" style="190" customWidth="1"/>
    <col min="2" max="2" width="28.85546875" customWidth="1"/>
    <col min="3" max="3" width="16.42578125" customWidth="1"/>
    <col min="4" max="4" width="6.7109375" customWidth="1"/>
    <col min="5" max="5" width="12.140625" style="342" customWidth="1"/>
    <col min="6" max="6" width="23.140625" customWidth="1"/>
    <col min="7" max="7" width="7" customWidth="1"/>
    <col min="8" max="8" width="9.7109375" hidden="1" customWidth="1"/>
    <col min="9" max="9" width="12.140625" customWidth="1"/>
    <col min="10" max="11" width="12.42578125" bestFit="1" customWidth="1"/>
    <col min="12" max="14" width="0" hidden="1" customWidth="1"/>
    <col min="15" max="15" width="12.42578125" bestFit="1" customWidth="1"/>
    <col min="16" max="17" width="12.42578125" hidden="1" customWidth="1"/>
    <col min="18" max="18" width="25.140625" customWidth="1"/>
    <col min="19" max="19" width="22.140625" customWidth="1"/>
    <col min="20" max="20" width="24.7109375" customWidth="1"/>
  </cols>
  <sheetData>
    <row r="1" spans="1:20" ht="18.75">
      <c r="A1" s="890" t="s">
        <v>141</v>
      </c>
      <c r="B1" s="890"/>
      <c r="C1" s="890"/>
      <c r="D1" s="890"/>
      <c r="E1" s="890"/>
      <c r="F1" s="890"/>
      <c r="G1" s="890"/>
      <c r="H1" s="890"/>
      <c r="I1" s="890"/>
      <c r="J1" s="890"/>
      <c r="K1" s="890"/>
      <c r="L1" s="890"/>
      <c r="M1" s="890"/>
      <c r="N1" s="890"/>
      <c r="O1" s="890"/>
      <c r="P1" s="890"/>
      <c r="Q1" s="890"/>
      <c r="R1" s="890"/>
    </row>
    <row r="2" spans="1:20" ht="18.75">
      <c r="A2" s="890" t="s">
        <v>200</v>
      </c>
      <c r="B2" s="939"/>
      <c r="C2" s="939"/>
      <c r="D2" s="939"/>
      <c r="E2" s="939"/>
      <c r="F2" s="939"/>
      <c r="G2" s="939"/>
      <c r="H2" s="939"/>
      <c r="I2" s="939"/>
      <c r="J2" s="939"/>
      <c r="K2" s="939"/>
      <c r="L2" s="939"/>
      <c r="M2" s="939"/>
      <c r="N2" s="939"/>
      <c r="O2" s="939"/>
      <c r="P2" s="939"/>
      <c r="Q2" s="939"/>
      <c r="R2" s="939"/>
    </row>
    <row r="3" spans="1:20" ht="16.5">
      <c r="A3" s="940" t="s">
        <v>1000</v>
      </c>
      <c r="B3" s="940"/>
      <c r="C3" s="940"/>
      <c r="D3" s="940"/>
      <c r="E3" s="940"/>
      <c r="F3" s="940"/>
      <c r="G3" s="940"/>
      <c r="H3" s="940"/>
      <c r="I3" s="940"/>
      <c r="J3" s="940"/>
      <c r="K3" s="940"/>
      <c r="L3" s="940"/>
      <c r="M3" s="940"/>
      <c r="N3" s="940"/>
      <c r="O3" s="940"/>
      <c r="P3" s="940"/>
      <c r="Q3" s="940"/>
      <c r="R3" s="940"/>
    </row>
    <row r="4" spans="1:20">
      <c r="A4" s="299"/>
      <c r="B4" s="285"/>
      <c r="C4" s="285"/>
      <c r="D4" s="285"/>
      <c r="E4" s="334"/>
      <c r="F4" s="284"/>
      <c r="G4" s="284"/>
      <c r="H4" s="286"/>
      <c r="I4" s="284"/>
      <c r="J4" s="287"/>
      <c r="K4" s="287"/>
      <c r="L4" s="287"/>
      <c r="M4" s="287"/>
      <c r="N4" s="287"/>
      <c r="O4" s="287"/>
      <c r="P4" s="287"/>
      <c r="Q4" s="287"/>
      <c r="R4" s="288"/>
    </row>
    <row r="5" spans="1:20" ht="34.5" customHeight="1">
      <c r="A5" s="941" t="s">
        <v>4</v>
      </c>
      <c r="B5" s="941" t="s">
        <v>190</v>
      </c>
      <c r="C5" s="923" t="s">
        <v>507</v>
      </c>
      <c r="D5" s="941" t="s">
        <v>153</v>
      </c>
      <c r="E5" s="944" t="s">
        <v>191</v>
      </c>
      <c r="F5" s="923" t="s">
        <v>192</v>
      </c>
      <c r="G5" s="923" t="s">
        <v>193</v>
      </c>
      <c r="H5" s="923" t="s">
        <v>194</v>
      </c>
      <c r="I5" s="923"/>
      <c r="J5" s="923"/>
      <c r="K5" s="923"/>
      <c r="L5" s="954" t="s">
        <v>195</v>
      </c>
      <c r="M5" s="956"/>
      <c r="N5" s="955"/>
      <c r="O5" s="941" t="s">
        <v>196</v>
      </c>
      <c r="P5" s="634"/>
      <c r="Q5" s="634"/>
      <c r="R5" s="919" t="s">
        <v>9</v>
      </c>
      <c r="S5" t="s">
        <v>586</v>
      </c>
    </row>
    <row r="6" spans="1:20">
      <c r="A6" s="942"/>
      <c r="B6" s="942"/>
      <c r="C6" s="923"/>
      <c r="D6" s="942"/>
      <c r="E6" s="944"/>
      <c r="F6" s="923"/>
      <c r="G6" s="923"/>
      <c r="H6" s="923" t="s">
        <v>197</v>
      </c>
      <c r="I6" s="923" t="s">
        <v>157</v>
      </c>
      <c r="J6" s="923" t="s">
        <v>198</v>
      </c>
      <c r="K6" s="923"/>
      <c r="L6" s="941" t="s">
        <v>161</v>
      </c>
      <c r="M6" s="954" t="s">
        <v>198</v>
      </c>
      <c r="N6" s="955"/>
      <c r="O6" s="942"/>
      <c r="P6" s="923" t="s">
        <v>198</v>
      </c>
      <c r="Q6" s="923"/>
      <c r="R6" s="919"/>
      <c r="S6" t="s">
        <v>587</v>
      </c>
      <c r="T6" s="448">
        <f>T7+T8</f>
        <v>23710419.5</v>
      </c>
    </row>
    <row r="7" spans="1:20">
      <c r="A7" s="942"/>
      <c r="B7" s="942"/>
      <c r="C7" s="923"/>
      <c r="D7" s="942"/>
      <c r="E7" s="944"/>
      <c r="F7" s="923"/>
      <c r="G7" s="923"/>
      <c r="H7" s="923"/>
      <c r="I7" s="923"/>
      <c r="J7" s="923" t="s">
        <v>133</v>
      </c>
      <c r="K7" s="923" t="s">
        <v>199</v>
      </c>
      <c r="L7" s="942"/>
      <c r="M7" s="941" t="s">
        <v>133</v>
      </c>
      <c r="N7" s="941" t="s">
        <v>199</v>
      </c>
      <c r="O7" s="942"/>
      <c r="P7" s="923" t="s">
        <v>133</v>
      </c>
      <c r="Q7" s="923" t="s">
        <v>199</v>
      </c>
      <c r="R7" s="919"/>
      <c r="S7" t="s">
        <v>588</v>
      </c>
      <c r="T7" s="448">
        <v>12796219.500000002</v>
      </c>
    </row>
    <row r="8" spans="1:20">
      <c r="A8" s="943"/>
      <c r="B8" s="943"/>
      <c r="C8" s="923"/>
      <c r="D8" s="943"/>
      <c r="E8" s="944"/>
      <c r="F8" s="923"/>
      <c r="G8" s="923"/>
      <c r="H8" s="923"/>
      <c r="I8" s="923"/>
      <c r="J8" s="923"/>
      <c r="K8" s="923"/>
      <c r="L8" s="943"/>
      <c r="M8" s="943"/>
      <c r="N8" s="943"/>
      <c r="O8" s="943"/>
      <c r="P8" s="923"/>
      <c r="Q8" s="923"/>
      <c r="R8" s="919"/>
      <c r="S8" t="s">
        <v>589</v>
      </c>
      <c r="T8" s="448">
        <v>10914200</v>
      </c>
    </row>
    <row r="9" spans="1:20">
      <c r="A9" s="289">
        <v>1</v>
      </c>
      <c r="B9" s="289">
        <v>2</v>
      </c>
      <c r="C9" s="290">
        <v>3</v>
      </c>
      <c r="D9" s="290"/>
      <c r="E9" s="335">
        <v>4</v>
      </c>
      <c r="F9" s="290">
        <v>5</v>
      </c>
      <c r="G9" s="290">
        <v>6</v>
      </c>
      <c r="H9" s="290">
        <v>7</v>
      </c>
      <c r="I9" s="290">
        <v>8</v>
      </c>
      <c r="J9" s="290">
        <v>9</v>
      </c>
      <c r="K9" s="290">
        <v>10</v>
      </c>
      <c r="L9" s="290">
        <v>11</v>
      </c>
      <c r="M9" s="290">
        <v>12</v>
      </c>
      <c r="N9" s="290">
        <v>13</v>
      </c>
      <c r="O9" s="290">
        <v>14</v>
      </c>
      <c r="P9" s="290">
        <v>15</v>
      </c>
      <c r="Q9" s="290">
        <v>16</v>
      </c>
      <c r="R9" s="291">
        <v>17</v>
      </c>
    </row>
    <row r="10" spans="1:20" ht="22.5" customHeight="1">
      <c r="A10" s="524"/>
      <c r="B10" s="247" t="s">
        <v>138</v>
      </c>
      <c r="C10" s="551"/>
      <c r="D10" s="524"/>
      <c r="E10" s="525"/>
      <c r="F10" s="525"/>
      <c r="G10" s="524"/>
      <c r="H10" s="524"/>
      <c r="I10" s="568">
        <f t="shared" ref="I10:Q10" si="0">I11+I239</f>
        <v>44722111.049999997</v>
      </c>
      <c r="J10" s="568">
        <f t="shared" si="0"/>
        <v>9006510.7300000004</v>
      </c>
      <c r="K10" s="568">
        <f t="shared" si="0"/>
        <v>34933543.32</v>
      </c>
      <c r="L10" s="568">
        <f t="shared" si="0"/>
        <v>570</v>
      </c>
      <c r="M10" s="568">
        <f t="shared" si="0"/>
        <v>0</v>
      </c>
      <c r="N10" s="568">
        <f t="shared" si="0"/>
        <v>8789</v>
      </c>
      <c r="O10" s="568">
        <f t="shared" si="0"/>
        <v>40333763.319999993</v>
      </c>
      <c r="P10" s="568">
        <f t="shared" si="0"/>
        <v>0</v>
      </c>
      <c r="Q10" s="568">
        <f t="shared" si="0"/>
        <v>0</v>
      </c>
      <c r="R10" s="526"/>
      <c r="S10" s="570">
        <v>10914200</v>
      </c>
      <c r="T10" t="e">
        <v>#REF!</v>
      </c>
    </row>
    <row r="11" spans="1:20" ht="24" customHeight="1">
      <c r="A11" s="528" t="s">
        <v>20</v>
      </c>
      <c r="B11" s="529" t="s">
        <v>660</v>
      </c>
      <c r="C11" s="552"/>
      <c r="D11" s="528"/>
      <c r="E11" s="530"/>
      <c r="F11" s="530"/>
      <c r="G11" s="531"/>
      <c r="H11" s="528"/>
      <c r="I11" s="569">
        <f>I12+I73+I131+I147+I162+I177+I187+I190+I193+I198+I201+I213+I216+I221+I233</f>
        <v>38350721.049999997</v>
      </c>
      <c r="J11" s="569">
        <f t="shared" ref="J11:Q11" si="1">J12+J73+J131+J147+J162+J177+J187+J190+J193+J198+J201+J213+J216+J221+J233</f>
        <v>9006510.7300000004</v>
      </c>
      <c r="K11" s="569">
        <f t="shared" si="1"/>
        <v>29344210.32</v>
      </c>
      <c r="L11" s="569">
        <f t="shared" si="1"/>
        <v>570</v>
      </c>
      <c r="M11" s="569">
        <f t="shared" si="1"/>
        <v>0</v>
      </c>
      <c r="N11" s="569">
        <f t="shared" si="1"/>
        <v>8789</v>
      </c>
      <c r="O11" s="569">
        <f t="shared" si="1"/>
        <v>34996373.319999993</v>
      </c>
      <c r="P11" s="569">
        <f t="shared" si="1"/>
        <v>0</v>
      </c>
      <c r="Q11" s="569">
        <f t="shared" si="1"/>
        <v>0</v>
      </c>
      <c r="R11" s="532"/>
      <c r="S11" s="448">
        <f>S10-P10</f>
        <v>10914200</v>
      </c>
      <c r="T11" s="448" t="e">
        <f>O10-T10</f>
        <v>#REF!</v>
      </c>
    </row>
    <row r="12" spans="1:20" s="297" customFormat="1" ht="30" customHeight="1" collapsed="1">
      <c r="A12" s="527" t="s">
        <v>835</v>
      </c>
      <c r="B12" s="298" t="s">
        <v>172</v>
      </c>
      <c r="C12" s="394"/>
      <c r="D12" s="343"/>
      <c r="E12" s="344"/>
      <c r="F12" s="344"/>
      <c r="G12" s="394"/>
      <c r="H12" s="343"/>
      <c r="I12" s="533">
        <f>I13+I29</f>
        <v>19719430.079999998</v>
      </c>
      <c r="J12" s="533">
        <f t="shared" ref="J12:Q12" si="2">J13+J29</f>
        <v>6410130</v>
      </c>
      <c r="K12" s="533">
        <f t="shared" si="2"/>
        <v>13309300.08</v>
      </c>
      <c r="L12" s="533">
        <f t="shared" si="2"/>
        <v>460</v>
      </c>
      <c r="M12" s="533">
        <f t="shared" si="2"/>
        <v>0</v>
      </c>
      <c r="N12" s="533">
        <f t="shared" si="2"/>
        <v>8679</v>
      </c>
      <c r="O12" s="533">
        <f t="shared" si="2"/>
        <v>18777530.079999998</v>
      </c>
      <c r="P12" s="533">
        <f t="shared" si="2"/>
        <v>0</v>
      </c>
      <c r="Q12" s="533">
        <f t="shared" si="2"/>
        <v>0</v>
      </c>
      <c r="R12" s="343"/>
      <c r="S12" s="320">
        <v>17347080.079999998</v>
      </c>
      <c r="T12" s="320">
        <v>20020970</v>
      </c>
    </row>
    <row r="13" spans="1:20" s="297" customFormat="1" ht="22.5" customHeight="1" outlineLevel="1">
      <c r="A13" s="323" t="s">
        <v>510</v>
      </c>
      <c r="B13" s="281" t="s">
        <v>302</v>
      </c>
      <c r="C13" s="393"/>
      <c r="D13" s="324"/>
      <c r="E13" s="339"/>
      <c r="F13" s="339"/>
      <c r="G13" s="393"/>
      <c r="H13" s="324"/>
      <c r="I13" s="345">
        <f>SUM(I14:I28)</f>
        <v>12362000</v>
      </c>
      <c r="J13" s="345">
        <f t="shared" ref="J13:Q13" si="3">SUM(J14:J28)</f>
        <v>3500000</v>
      </c>
      <c r="K13" s="345">
        <f t="shared" si="3"/>
        <v>8862000</v>
      </c>
      <c r="L13" s="345">
        <f t="shared" si="3"/>
        <v>460</v>
      </c>
      <c r="M13" s="345">
        <f t="shared" si="3"/>
        <v>0</v>
      </c>
      <c r="N13" s="345">
        <f t="shared" si="3"/>
        <v>460</v>
      </c>
      <c r="O13" s="345">
        <f t="shared" si="3"/>
        <v>11736000</v>
      </c>
      <c r="P13" s="345">
        <f>SUM(P14:P28)</f>
        <v>0</v>
      </c>
      <c r="Q13" s="345">
        <f t="shared" si="3"/>
        <v>0</v>
      </c>
      <c r="R13" s="376"/>
      <c r="S13" s="320"/>
      <c r="T13" s="320">
        <f>T12-S12</f>
        <v>2673889.9200000018</v>
      </c>
    </row>
    <row r="14" spans="1:20" s="297" customFormat="1" ht="126" customHeight="1" outlineLevel="2">
      <c r="A14" s="293">
        <v>1</v>
      </c>
      <c r="B14" s="255" t="s">
        <v>292</v>
      </c>
      <c r="C14" s="553" t="s">
        <v>293</v>
      </c>
      <c r="D14" s="293" t="s">
        <v>101</v>
      </c>
      <c r="E14" s="337" t="s">
        <v>270</v>
      </c>
      <c r="F14" s="337" t="s">
        <v>294</v>
      </c>
      <c r="G14" s="263" t="s">
        <v>295</v>
      </c>
      <c r="H14" s="293" t="s">
        <v>296</v>
      </c>
      <c r="I14" s="347">
        <f>+J14+K14</f>
        <v>800000</v>
      </c>
      <c r="J14" s="347">
        <v>800000</v>
      </c>
      <c r="K14" s="255"/>
      <c r="L14" s="255"/>
      <c r="M14" s="255"/>
      <c r="N14" s="255"/>
      <c r="O14" s="571">
        <v>780000</v>
      </c>
      <c r="P14" s="347"/>
      <c r="Q14" s="347"/>
      <c r="R14" s="337" t="s">
        <v>297</v>
      </c>
      <c r="S14" s="330"/>
    </row>
    <row r="15" spans="1:20" s="297" customFormat="1" ht="119.25" customHeight="1" outlineLevel="2">
      <c r="A15" s="254">
        <f>MAX(A$14:$A14)+1</f>
        <v>2</v>
      </c>
      <c r="B15" s="255" t="s">
        <v>298</v>
      </c>
      <c r="C15" s="553" t="s">
        <v>293</v>
      </c>
      <c r="D15" s="293" t="s">
        <v>101</v>
      </c>
      <c r="E15" s="337" t="s">
        <v>270</v>
      </c>
      <c r="F15" s="337" t="s">
        <v>299</v>
      </c>
      <c r="G15" s="263" t="s">
        <v>300</v>
      </c>
      <c r="H15" s="293"/>
      <c r="I15" s="347">
        <f>+J15+K15</f>
        <v>1200000</v>
      </c>
      <c r="J15" s="347"/>
      <c r="K15" s="347">
        <v>1200000</v>
      </c>
      <c r="L15" s="255"/>
      <c r="M15" s="255"/>
      <c r="N15" s="255"/>
      <c r="O15" s="571">
        <v>1140000</v>
      </c>
      <c r="P15" s="347"/>
      <c r="Q15" s="347"/>
      <c r="R15" s="337" t="s">
        <v>301</v>
      </c>
      <c r="S15" s="330" t="s">
        <v>312</v>
      </c>
    </row>
    <row r="16" spans="1:20" s="297" customFormat="1" ht="56.25" customHeight="1" outlineLevel="2">
      <c r="A16" s="254">
        <f>MAX(A$14:$A15)+1</f>
        <v>3</v>
      </c>
      <c r="B16" s="255" t="s">
        <v>303</v>
      </c>
      <c r="C16" s="553" t="s">
        <v>293</v>
      </c>
      <c r="D16" s="293" t="s">
        <v>101</v>
      </c>
      <c r="E16" s="337" t="s">
        <v>304</v>
      </c>
      <c r="F16" s="337" t="s">
        <v>305</v>
      </c>
      <c r="G16" s="263" t="s">
        <v>211</v>
      </c>
      <c r="H16" s="293" t="s">
        <v>306</v>
      </c>
      <c r="I16" s="347">
        <v>2199000</v>
      </c>
      <c r="J16" s="347">
        <v>0</v>
      </c>
      <c r="K16" s="347">
        <f>I16</f>
        <v>2199000</v>
      </c>
      <c r="L16" s="347">
        <f>M16+N16</f>
        <v>460</v>
      </c>
      <c r="M16" s="347"/>
      <c r="N16" s="347">
        <v>460</v>
      </c>
      <c r="O16" s="571">
        <v>2000000</v>
      </c>
      <c r="P16" s="347"/>
      <c r="Q16" s="347"/>
      <c r="R16" s="337"/>
      <c r="S16" s="330"/>
    </row>
    <row r="17" spans="1:19" s="297" customFormat="1" ht="56.25" customHeight="1" outlineLevel="2">
      <c r="A17" s="254">
        <f>MAX(A$14:$A16)+1</f>
        <v>4</v>
      </c>
      <c r="B17" s="255" t="s">
        <v>599</v>
      </c>
      <c r="C17" s="553" t="s">
        <v>293</v>
      </c>
      <c r="D17" s="293" t="s">
        <v>101</v>
      </c>
      <c r="E17" s="337" t="s">
        <v>435</v>
      </c>
      <c r="F17" s="337" t="s">
        <v>600</v>
      </c>
      <c r="G17" s="263" t="s">
        <v>211</v>
      </c>
      <c r="H17" s="293"/>
      <c r="I17" s="347">
        <v>250000</v>
      </c>
      <c r="J17" s="347"/>
      <c r="K17" s="347">
        <v>250000</v>
      </c>
      <c r="L17" s="347"/>
      <c r="M17" s="347"/>
      <c r="N17" s="347"/>
      <c r="O17" s="571">
        <v>250000</v>
      </c>
      <c r="P17" s="347"/>
      <c r="Q17" s="347"/>
      <c r="R17" s="337"/>
      <c r="S17" s="477" t="s">
        <v>601</v>
      </c>
    </row>
    <row r="18" spans="1:19" s="297" customFormat="1" ht="78.75" customHeight="1" outlineLevel="2">
      <c r="A18" s="254">
        <f>MAX(A$14:$A17)+1</f>
        <v>5</v>
      </c>
      <c r="B18" s="348" t="s">
        <v>307</v>
      </c>
      <c r="C18" s="553" t="s">
        <v>293</v>
      </c>
      <c r="D18" s="293" t="s">
        <v>101</v>
      </c>
      <c r="E18" s="337" t="s">
        <v>308</v>
      </c>
      <c r="F18" s="337" t="s">
        <v>309</v>
      </c>
      <c r="G18" s="263" t="s">
        <v>211</v>
      </c>
      <c r="H18" s="293"/>
      <c r="I18" s="347">
        <v>350000</v>
      </c>
      <c r="J18" s="347"/>
      <c r="K18" s="347">
        <v>350000</v>
      </c>
      <c r="L18" s="347"/>
      <c r="M18" s="347"/>
      <c r="N18" s="347"/>
      <c r="O18" s="571">
        <v>350000</v>
      </c>
      <c r="P18" s="347"/>
      <c r="Q18" s="347"/>
      <c r="R18" s="337" t="s">
        <v>310</v>
      </c>
      <c r="S18" s="329" t="s">
        <v>311</v>
      </c>
    </row>
    <row r="19" spans="1:19" s="297" customFormat="1" ht="84" outlineLevel="2">
      <c r="A19" s="254">
        <f>MAX(A$14:$A18)+1</f>
        <v>6</v>
      </c>
      <c r="B19" s="350" t="s">
        <v>313</v>
      </c>
      <c r="C19" s="554" t="s">
        <v>293</v>
      </c>
      <c r="D19" s="349" t="s">
        <v>101</v>
      </c>
      <c r="E19" s="351" t="s">
        <v>314</v>
      </c>
      <c r="F19" s="337" t="s">
        <v>315</v>
      </c>
      <c r="G19" s="391" t="s">
        <v>300</v>
      </c>
      <c r="H19" s="349"/>
      <c r="I19" s="352">
        <v>850000</v>
      </c>
      <c r="J19" s="353"/>
      <c r="K19" s="354">
        <f>I19</f>
        <v>850000</v>
      </c>
      <c r="L19" s="355"/>
      <c r="M19" s="355"/>
      <c r="N19" s="355"/>
      <c r="O19" s="571">
        <v>810000</v>
      </c>
      <c r="P19" s="355"/>
      <c r="Q19" s="354"/>
      <c r="R19" s="381" t="s">
        <v>316</v>
      </c>
      <c r="S19" s="331"/>
    </row>
    <row r="20" spans="1:19" s="297" customFormat="1" ht="84" outlineLevel="2">
      <c r="A20" s="254">
        <f>MAX(A$14:$A19)+1</f>
        <v>7</v>
      </c>
      <c r="B20" s="356" t="s">
        <v>317</v>
      </c>
      <c r="C20" s="554" t="s">
        <v>293</v>
      </c>
      <c r="D20" s="357" t="s">
        <v>101</v>
      </c>
      <c r="E20" s="358" t="s">
        <v>318</v>
      </c>
      <c r="F20" s="337" t="s">
        <v>319</v>
      </c>
      <c r="G20" s="392" t="s">
        <v>300</v>
      </c>
      <c r="H20" s="357"/>
      <c r="I20" s="352">
        <f>+J20+K20</f>
        <v>1350000</v>
      </c>
      <c r="J20" s="356"/>
      <c r="K20" s="352">
        <v>1350000</v>
      </c>
      <c r="L20" s="356"/>
      <c r="M20" s="356"/>
      <c r="N20" s="356"/>
      <c r="O20" s="571">
        <v>1280000</v>
      </c>
      <c r="P20" s="355"/>
      <c r="Q20" s="354"/>
      <c r="R20" s="359" t="s">
        <v>320</v>
      </c>
      <c r="S20" s="332"/>
    </row>
    <row r="21" spans="1:19" s="460" customFormat="1" ht="96" outlineLevel="2">
      <c r="A21" s="411">
        <f>MAX(A$14:$A20)+1</f>
        <v>8</v>
      </c>
      <c r="B21" s="478" t="s">
        <v>321</v>
      </c>
      <c r="C21" s="555" t="s">
        <v>293</v>
      </c>
      <c r="D21" s="574" t="s">
        <v>101</v>
      </c>
      <c r="E21" s="378" t="s">
        <v>318</v>
      </c>
      <c r="F21" s="452" t="s">
        <v>322</v>
      </c>
      <c r="G21" s="575" t="s">
        <v>300</v>
      </c>
      <c r="H21" s="574"/>
      <c r="I21" s="482">
        <f>+J21+K20:K21</f>
        <v>1200000</v>
      </c>
      <c r="J21" s="576"/>
      <c r="K21" s="482">
        <v>1200000</v>
      </c>
      <c r="L21" s="576"/>
      <c r="M21" s="576"/>
      <c r="N21" s="576"/>
      <c r="O21" s="573">
        <v>1140000</v>
      </c>
      <c r="P21" s="483"/>
      <c r="Q21" s="577"/>
      <c r="R21" s="578" t="s">
        <v>323</v>
      </c>
      <c r="S21" s="485"/>
    </row>
    <row r="22" spans="1:19" s="297" customFormat="1" ht="132" outlineLevel="2">
      <c r="A22" s="254">
        <f>MAX(A$14:$A21)+1</f>
        <v>9</v>
      </c>
      <c r="B22" s="356" t="s">
        <v>324</v>
      </c>
      <c r="C22" s="554" t="s">
        <v>293</v>
      </c>
      <c r="D22" s="357" t="s">
        <v>101</v>
      </c>
      <c r="E22" s="359" t="s">
        <v>325</v>
      </c>
      <c r="F22" s="337" t="s">
        <v>326</v>
      </c>
      <c r="G22" s="392" t="s">
        <v>300</v>
      </c>
      <c r="H22" s="360"/>
      <c r="I22" s="353">
        <f>+J22+K22</f>
        <v>1000000</v>
      </c>
      <c r="J22" s="353"/>
      <c r="K22" s="353">
        <v>1000000</v>
      </c>
      <c r="L22" s="353"/>
      <c r="M22" s="353"/>
      <c r="N22" s="353"/>
      <c r="O22" s="571">
        <v>950000</v>
      </c>
      <c r="P22" s="355"/>
      <c r="Q22" s="354"/>
      <c r="R22" s="359" t="s">
        <v>327</v>
      </c>
      <c r="S22" s="607" t="s">
        <v>889</v>
      </c>
    </row>
    <row r="23" spans="1:19" s="297" customFormat="1" ht="120" outlineLevel="2">
      <c r="A23" s="254">
        <f>MAX(A$14:$A22)+1</f>
        <v>10</v>
      </c>
      <c r="B23" s="355" t="s">
        <v>328</v>
      </c>
      <c r="C23" s="554" t="s">
        <v>293</v>
      </c>
      <c r="D23" s="349" t="s">
        <v>101</v>
      </c>
      <c r="E23" s="358" t="s">
        <v>270</v>
      </c>
      <c r="F23" s="337" t="s">
        <v>329</v>
      </c>
      <c r="G23" s="391" t="s">
        <v>330</v>
      </c>
      <c r="H23" s="349"/>
      <c r="I23" s="353">
        <v>67000</v>
      </c>
      <c r="J23" s="355"/>
      <c r="K23" s="353">
        <v>67000</v>
      </c>
      <c r="L23" s="355"/>
      <c r="M23" s="355"/>
      <c r="N23" s="355"/>
      <c r="O23" s="571">
        <v>60000</v>
      </c>
      <c r="P23" s="355"/>
      <c r="Q23" s="354"/>
      <c r="R23" s="358" t="s">
        <v>331</v>
      </c>
      <c r="S23" s="331"/>
    </row>
    <row r="24" spans="1:19" s="297" customFormat="1" ht="90" outlineLevel="2">
      <c r="A24" s="254">
        <f>MAX(A$14:$A23)+1</f>
        <v>11</v>
      </c>
      <c r="B24" s="355" t="s">
        <v>332</v>
      </c>
      <c r="C24" s="554" t="s">
        <v>293</v>
      </c>
      <c r="D24" s="349" t="s">
        <v>173</v>
      </c>
      <c r="E24" s="358" t="s">
        <v>231</v>
      </c>
      <c r="F24" s="337" t="s">
        <v>333</v>
      </c>
      <c r="G24" s="391" t="s">
        <v>212</v>
      </c>
      <c r="H24" s="349"/>
      <c r="I24" s="353">
        <v>46000</v>
      </c>
      <c r="J24" s="355"/>
      <c r="K24" s="353">
        <v>46000</v>
      </c>
      <c r="L24" s="355"/>
      <c r="M24" s="355"/>
      <c r="N24" s="355"/>
      <c r="O24" s="571">
        <v>46000</v>
      </c>
      <c r="P24" s="355"/>
      <c r="Q24" s="354"/>
      <c r="R24" s="382" t="s">
        <v>334</v>
      </c>
      <c r="S24" s="331" t="s">
        <v>334</v>
      </c>
    </row>
    <row r="25" spans="1:19" s="297" customFormat="1" ht="96" outlineLevel="2">
      <c r="A25" s="254">
        <f>MAX(A$14:$A24)+1</f>
        <v>12</v>
      </c>
      <c r="B25" s="356" t="s">
        <v>335</v>
      </c>
      <c r="C25" s="554" t="s">
        <v>293</v>
      </c>
      <c r="D25" s="357" t="s">
        <v>101</v>
      </c>
      <c r="E25" s="359" t="s">
        <v>336</v>
      </c>
      <c r="F25" s="337" t="s">
        <v>337</v>
      </c>
      <c r="G25" s="392" t="s">
        <v>178</v>
      </c>
      <c r="H25" s="357"/>
      <c r="I25" s="353">
        <v>100000</v>
      </c>
      <c r="J25" s="353"/>
      <c r="K25" s="353">
        <v>100000</v>
      </c>
      <c r="L25" s="356"/>
      <c r="M25" s="356"/>
      <c r="N25" s="356"/>
      <c r="O25" s="571">
        <v>100000</v>
      </c>
      <c r="P25" s="355"/>
      <c r="Q25" s="354"/>
      <c r="R25" s="383" t="s">
        <v>338</v>
      </c>
      <c r="S25" s="331" t="s">
        <v>339</v>
      </c>
    </row>
    <row r="26" spans="1:19" s="297" customFormat="1" ht="60" outlineLevel="2">
      <c r="A26" s="254">
        <f>MAX(A$14:$A25)+1</f>
        <v>13</v>
      </c>
      <c r="B26" s="361" t="s">
        <v>340</v>
      </c>
      <c r="C26" s="554" t="s">
        <v>293</v>
      </c>
      <c r="D26" s="349" t="s">
        <v>20</v>
      </c>
      <c r="E26" s="359" t="s">
        <v>341</v>
      </c>
      <c r="F26" s="337" t="s">
        <v>342</v>
      </c>
      <c r="G26" s="391" t="s">
        <v>300</v>
      </c>
      <c r="H26" s="349"/>
      <c r="I26" s="352">
        <v>2500000</v>
      </c>
      <c r="J26" s="353">
        <v>2500000</v>
      </c>
      <c r="K26" s="355"/>
      <c r="L26" s="355"/>
      <c r="M26" s="355"/>
      <c r="N26" s="355"/>
      <c r="O26" s="572">
        <v>2380000</v>
      </c>
      <c r="P26" s="353"/>
      <c r="Q26" s="354"/>
      <c r="R26" s="381" t="s">
        <v>343</v>
      </c>
      <c r="S26" s="331"/>
    </row>
    <row r="27" spans="1:19" s="460" customFormat="1" ht="60" outlineLevel="2">
      <c r="A27" s="411">
        <f>MAX(A$14:$A26)+1</f>
        <v>14</v>
      </c>
      <c r="B27" s="478" t="s">
        <v>602</v>
      </c>
      <c r="C27" s="555" t="s">
        <v>610</v>
      </c>
      <c r="D27" s="479" t="s">
        <v>101</v>
      </c>
      <c r="E27" s="480" t="s">
        <v>603</v>
      </c>
      <c r="F27" s="452" t="s">
        <v>604</v>
      </c>
      <c r="G27" s="481" t="s">
        <v>300</v>
      </c>
      <c r="H27" s="479"/>
      <c r="I27" s="482">
        <v>250000</v>
      </c>
      <c r="J27" s="482"/>
      <c r="K27" s="482">
        <f>I27</f>
        <v>250000</v>
      </c>
      <c r="L27" s="478"/>
      <c r="M27" s="478"/>
      <c r="N27" s="478"/>
      <c r="O27" s="573">
        <v>250000</v>
      </c>
      <c r="P27" s="483"/>
      <c r="Q27" s="483"/>
      <c r="R27" s="484" t="s">
        <v>605</v>
      </c>
      <c r="S27" s="485"/>
    </row>
    <row r="28" spans="1:19" s="460" customFormat="1" ht="96" outlineLevel="2">
      <c r="A28" s="411">
        <f>MAX(A$14:$A27)+1</f>
        <v>15</v>
      </c>
      <c r="B28" s="478" t="s">
        <v>606</v>
      </c>
      <c r="C28" s="555" t="s">
        <v>610</v>
      </c>
      <c r="D28" s="479" t="s">
        <v>101</v>
      </c>
      <c r="E28" s="480" t="s">
        <v>607</v>
      </c>
      <c r="F28" s="452" t="s">
        <v>608</v>
      </c>
      <c r="G28" s="481" t="s">
        <v>212</v>
      </c>
      <c r="H28" s="479"/>
      <c r="I28" s="482">
        <v>200000</v>
      </c>
      <c r="J28" s="482">
        <v>200000</v>
      </c>
      <c r="K28" s="482"/>
      <c r="L28" s="478"/>
      <c r="M28" s="478"/>
      <c r="N28" s="478"/>
      <c r="O28" s="573">
        <v>200000</v>
      </c>
      <c r="P28" s="483"/>
      <c r="Q28" s="483"/>
      <c r="R28" s="484" t="s">
        <v>609</v>
      </c>
      <c r="S28" s="485"/>
    </row>
    <row r="29" spans="1:19" s="297" customFormat="1" ht="30.75" customHeight="1" outlineLevel="1">
      <c r="A29" s="323" t="s">
        <v>511</v>
      </c>
      <c r="B29" s="281" t="s">
        <v>344</v>
      </c>
      <c r="C29" s="393"/>
      <c r="D29" s="324"/>
      <c r="E29" s="339"/>
      <c r="F29" s="339"/>
      <c r="G29" s="393"/>
      <c r="H29" s="324"/>
      <c r="I29" s="345">
        <f>SUM(I30:I72)</f>
        <v>7357430.0800000001</v>
      </c>
      <c r="J29" s="345">
        <f t="shared" ref="J29:Q29" si="4">SUM(J30:J72)</f>
        <v>2910130</v>
      </c>
      <c r="K29" s="345">
        <f t="shared" si="4"/>
        <v>4447300.08</v>
      </c>
      <c r="L29" s="345">
        <f t="shared" si="4"/>
        <v>0</v>
      </c>
      <c r="M29" s="345">
        <f t="shared" si="4"/>
        <v>0</v>
      </c>
      <c r="N29" s="345">
        <f t="shared" si="4"/>
        <v>8219</v>
      </c>
      <c r="O29" s="345">
        <f t="shared" si="4"/>
        <v>7041530.0800000001</v>
      </c>
      <c r="P29" s="345">
        <f t="shared" si="4"/>
        <v>0</v>
      </c>
      <c r="Q29" s="345">
        <f t="shared" si="4"/>
        <v>0</v>
      </c>
      <c r="R29" s="389"/>
      <c r="S29" s="320"/>
    </row>
    <row r="30" spans="1:19" s="297" customFormat="1" ht="87" customHeight="1" outlineLevel="2">
      <c r="A30" s="254">
        <f>MAX(A$14:$A29)+1</f>
        <v>16</v>
      </c>
      <c r="B30" s="355" t="s">
        <v>345</v>
      </c>
      <c r="C30" s="556" t="s">
        <v>594</v>
      </c>
      <c r="D30" s="349" t="s">
        <v>101</v>
      </c>
      <c r="E30" s="358" t="s">
        <v>346</v>
      </c>
      <c r="F30" s="377" t="s">
        <v>347</v>
      </c>
      <c r="G30" s="391" t="s">
        <v>300</v>
      </c>
      <c r="H30" s="349" t="s">
        <v>348</v>
      </c>
      <c r="I30" s="543">
        <v>544000</v>
      </c>
      <c r="J30" s="543">
        <v>0</v>
      </c>
      <c r="K30" s="543">
        <v>544000</v>
      </c>
      <c r="L30" s="544"/>
      <c r="M30" s="544"/>
      <c r="N30" s="543">
        <v>8219</v>
      </c>
      <c r="O30" s="543">
        <v>544000</v>
      </c>
      <c r="P30" s="543"/>
      <c r="Q30" s="543"/>
      <c r="R30" s="383" t="s">
        <v>349</v>
      </c>
      <c r="S30" s="333"/>
    </row>
    <row r="31" spans="1:19" s="297" customFormat="1" ht="48.75" customHeight="1" outlineLevel="2">
      <c r="A31" s="254">
        <f>MAX(A$14:$A30)+1</f>
        <v>17</v>
      </c>
      <c r="B31" s="355" t="s">
        <v>350</v>
      </c>
      <c r="C31" s="556" t="s">
        <v>594</v>
      </c>
      <c r="D31" s="349" t="s">
        <v>101</v>
      </c>
      <c r="E31" s="358" t="s">
        <v>351</v>
      </c>
      <c r="F31" s="358" t="s">
        <v>352</v>
      </c>
      <c r="G31" s="391" t="s">
        <v>300</v>
      </c>
      <c r="H31" s="349"/>
      <c r="I31" s="543">
        <v>250000</v>
      </c>
      <c r="J31" s="543">
        <v>175000</v>
      </c>
      <c r="K31" s="543">
        <v>75000</v>
      </c>
      <c r="L31" s="544"/>
      <c r="M31" s="544"/>
      <c r="N31" s="544"/>
      <c r="O31" s="543">
        <v>250000</v>
      </c>
      <c r="P31" s="543"/>
      <c r="Q31" s="543"/>
      <c r="R31" s="383"/>
      <c r="S31" s="333"/>
    </row>
    <row r="32" spans="1:19" s="297" customFormat="1" ht="81" outlineLevel="2">
      <c r="A32" s="254">
        <f>MAX(A$14:$A31)+1</f>
        <v>18</v>
      </c>
      <c r="B32" s="469" t="s">
        <v>353</v>
      </c>
      <c r="C32" s="391" t="s">
        <v>293</v>
      </c>
      <c r="D32" s="349" t="s">
        <v>101</v>
      </c>
      <c r="E32" s="358" t="s">
        <v>354</v>
      </c>
      <c r="F32" s="358" t="s">
        <v>355</v>
      </c>
      <c r="G32" s="391">
        <v>2026</v>
      </c>
      <c r="H32" s="363" t="s">
        <v>356</v>
      </c>
      <c r="I32" s="543">
        <v>92500</v>
      </c>
      <c r="J32" s="543"/>
      <c r="K32" s="543">
        <v>92500</v>
      </c>
      <c r="L32" s="544"/>
      <c r="M32" s="544"/>
      <c r="N32" s="544"/>
      <c r="O32" s="543">
        <v>92500</v>
      </c>
      <c r="P32" s="543"/>
      <c r="Q32" s="543"/>
      <c r="R32" s="383"/>
      <c r="S32" s="333"/>
    </row>
    <row r="33" spans="1:20" s="297" customFormat="1" ht="54" outlineLevel="2">
      <c r="A33" s="254">
        <f>MAX(A$14:$A32)+1</f>
        <v>19</v>
      </c>
      <c r="B33" s="469" t="s">
        <v>357</v>
      </c>
      <c r="C33" s="391" t="s">
        <v>293</v>
      </c>
      <c r="D33" s="349" t="s">
        <v>173</v>
      </c>
      <c r="E33" s="358" t="s">
        <v>358</v>
      </c>
      <c r="F33" s="378" t="s">
        <v>359</v>
      </c>
      <c r="G33" s="391">
        <v>2026</v>
      </c>
      <c r="H33" s="363" t="s">
        <v>356</v>
      </c>
      <c r="I33" s="543">
        <v>29500</v>
      </c>
      <c r="J33" s="543"/>
      <c r="K33" s="545">
        <v>29500</v>
      </c>
      <c r="L33" s="544"/>
      <c r="M33" s="544"/>
      <c r="N33" s="544"/>
      <c r="O33" s="543">
        <v>29500</v>
      </c>
      <c r="P33" s="543"/>
      <c r="Q33" s="543"/>
      <c r="R33" s="383"/>
      <c r="S33" s="333"/>
    </row>
    <row r="34" spans="1:20" s="297" customFormat="1" ht="67.5" outlineLevel="2">
      <c r="A34" s="254">
        <f>MAX(A$14:$A33)+1</f>
        <v>20</v>
      </c>
      <c r="B34" s="469" t="s">
        <v>360</v>
      </c>
      <c r="C34" s="391" t="s">
        <v>293</v>
      </c>
      <c r="D34" s="349" t="s">
        <v>101</v>
      </c>
      <c r="E34" s="358" t="s">
        <v>361</v>
      </c>
      <c r="F34" s="378" t="s">
        <v>362</v>
      </c>
      <c r="G34" s="391">
        <v>2026</v>
      </c>
      <c r="H34" s="363" t="s">
        <v>356</v>
      </c>
      <c r="I34" s="543">
        <v>93000</v>
      </c>
      <c r="J34" s="543"/>
      <c r="K34" s="545">
        <v>93000</v>
      </c>
      <c r="L34" s="544"/>
      <c r="M34" s="544"/>
      <c r="N34" s="544"/>
      <c r="O34" s="543">
        <v>93000</v>
      </c>
      <c r="P34" s="543"/>
      <c r="Q34" s="543"/>
      <c r="R34" s="383" t="s">
        <v>363</v>
      </c>
      <c r="S34" s="333"/>
    </row>
    <row r="35" spans="1:20" s="297" customFormat="1" ht="51" outlineLevel="2">
      <c r="A35" s="254">
        <f>MAX(A$14:$A34)+1</f>
        <v>21</v>
      </c>
      <c r="B35" s="364" t="s">
        <v>595</v>
      </c>
      <c r="C35" s="556" t="s">
        <v>594</v>
      </c>
      <c r="D35" s="365" t="s">
        <v>173</v>
      </c>
      <c r="E35" s="366" t="s">
        <v>209</v>
      </c>
      <c r="F35" s="366" t="s">
        <v>364</v>
      </c>
      <c r="G35" s="391">
        <v>2026</v>
      </c>
      <c r="H35" s="365"/>
      <c r="I35" s="543">
        <v>20000</v>
      </c>
      <c r="J35" s="543">
        <v>0</v>
      </c>
      <c r="K35" s="546">
        <v>20000</v>
      </c>
      <c r="L35" s="547"/>
      <c r="M35" s="547"/>
      <c r="N35" s="547"/>
      <c r="O35" s="543">
        <v>20000</v>
      </c>
      <c r="P35" s="543"/>
      <c r="Q35" s="546"/>
      <c r="R35" s="383" t="s">
        <v>365</v>
      </c>
      <c r="S35" s="333"/>
    </row>
    <row r="36" spans="1:20" s="297" customFormat="1" ht="51" outlineLevel="2">
      <c r="A36" s="254">
        <f>MAX(A$14:$A35)+1</f>
        <v>22</v>
      </c>
      <c r="B36" s="355" t="s">
        <v>366</v>
      </c>
      <c r="C36" s="556" t="s">
        <v>594</v>
      </c>
      <c r="D36" s="365" t="s">
        <v>173</v>
      </c>
      <c r="E36" s="358" t="s">
        <v>367</v>
      </c>
      <c r="F36" s="366" t="s">
        <v>368</v>
      </c>
      <c r="G36" s="391">
        <v>2026</v>
      </c>
      <c r="H36" s="349"/>
      <c r="I36" s="543">
        <v>45000</v>
      </c>
      <c r="J36" s="543">
        <v>0</v>
      </c>
      <c r="K36" s="543">
        <v>45000</v>
      </c>
      <c r="L36" s="544"/>
      <c r="M36" s="544"/>
      <c r="N36" s="544"/>
      <c r="O36" s="543">
        <v>45000</v>
      </c>
      <c r="P36" s="543"/>
      <c r="Q36" s="543"/>
      <c r="R36" s="383" t="s">
        <v>369</v>
      </c>
      <c r="S36" s="333"/>
    </row>
    <row r="37" spans="1:20" s="297" customFormat="1" ht="60" outlineLevel="2">
      <c r="A37" s="254">
        <f>MAX(A$14:$A36)+1</f>
        <v>23</v>
      </c>
      <c r="B37" s="355" t="s">
        <v>370</v>
      </c>
      <c r="C37" s="391" t="s">
        <v>293</v>
      </c>
      <c r="D37" s="349" t="s">
        <v>101</v>
      </c>
      <c r="E37" s="358" t="s">
        <v>371</v>
      </c>
      <c r="F37" s="358" t="s">
        <v>372</v>
      </c>
      <c r="G37" s="391" t="s">
        <v>300</v>
      </c>
      <c r="H37" s="367"/>
      <c r="I37" s="543">
        <v>257030.08000000002</v>
      </c>
      <c r="J37" s="543">
        <v>0</v>
      </c>
      <c r="K37" s="543">
        <v>257030.08000000002</v>
      </c>
      <c r="L37" s="543">
        <v>0</v>
      </c>
      <c r="M37" s="543">
        <v>0</v>
      </c>
      <c r="N37" s="543">
        <v>0</v>
      </c>
      <c r="O37" s="543">
        <v>257030.08000000002</v>
      </c>
      <c r="P37" s="543"/>
      <c r="Q37" s="543"/>
      <c r="R37" s="383"/>
      <c r="S37" s="333"/>
    </row>
    <row r="38" spans="1:20" s="297" customFormat="1" ht="51" outlineLevel="2">
      <c r="A38" s="254">
        <f>MAX(A$14:$A37)+1</f>
        <v>24</v>
      </c>
      <c r="B38" s="355" t="s">
        <v>373</v>
      </c>
      <c r="C38" s="556" t="s">
        <v>594</v>
      </c>
      <c r="D38" s="349" t="s">
        <v>101</v>
      </c>
      <c r="E38" s="358" t="s">
        <v>374</v>
      </c>
      <c r="F38" s="358" t="s">
        <v>375</v>
      </c>
      <c r="G38" s="391" t="s">
        <v>300</v>
      </c>
      <c r="H38" s="349"/>
      <c r="I38" s="543">
        <v>815900</v>
      </c>
      <c r="J38" s="543">
        <v>571130</v>
      </c>
      <c r="K38" s="543">
        <v>244770</v>
      </c>
      <c r="L38" s="544"/>
      <c r="M38" s="544"/>
      <c r="N38" s="544"/>
      <c r="O38" s="543">
        <v>500000</v>
      </c>
      <c r="P38" s="543"/>
      <c r="Q38" s="543"/>
      <c r="R38" s="383" t="s">
        <v>376</v>
      </c>
      <c r="S38" s="333"/>
    </row>
    <row r="39" spans="1:20" s="297" customFormat="1" ht="165" outlineLevel="2">
      <c r="A39" s="254">
        <f>MAX(A$14:$A38)+1</f>
        <v>25</v>
      </c>
      <c r="B39" s="355" t="s">
        <v>377</v>
      </c>
      <c r="C39" s="556" t="s">
        <v>594</v>
      </c>
      <c r="D39" s="349" t="s">
        <v>101</v>
      </c>
      <c r="E39" s="358" t="s">
        <v>378</v>
      </c>
      <c r="F39" s="358" t="s">
        <v>379</v>
      </c>
      <c r="G39" s="391" t="s">
        <v>300</v>
      </c>
      <c r="H39" s="368"/>
      <c r="I39" s="543">
        <v>338000</v>
      </c>
      <c r="J39" s="548"/>
      <c r="K39" s="543">
        <v>338000</v>
      </c>
      <c r="L39" s="549"/>
      <c r="M39" s="549"/>
      <c r="N39" s="549"/>
      <c r="O39" s="543">
        <v>338000</v>
      </c>
      <c r="P39" s="548"/>
      <c r="Q39" s="543"/>
      <c r="R39" s="383"/>
      <c r="S39" s="333"/>
      <c r="T39" s="297" t="s">
        <v>598</v>
      </c>
    </row>
    <row r="40" spans="1:20" s="297" customFormat="1" ht="30" outlineLevel="2">
      <c r="A40" s="254">
        <f>MAX(A$14:$A39)+1</f>
        <v>26</v>
      </c>
      <c r="B40" s="355" t="s">
        <v>380</v>
      </c>
      <c r="C40" s="391" t="s">
        <v>293</v>
      </c>
      <c r="D40" s="349" t="s">
        <v>101</v>
      </c>
      <c r="E40" s="358" t="s">
        <v>381</v>
      </c>
      <c r="F40" s="358" t="s">
        <v>382</v>
      </c>
      <c r="G40" s="391" t="s">
        <v>300</v>
      </c>
      <c r="H40" s="368"/>
      <c r="I40" s="543">
        <v>390000</v>
      </c>
      <c r="J40" s="548"/>
      <c r="K40" s="543">
        <v>390000</v>
      </c>
      <c r="L40" s="549"/>
      <c r="M40" s="549"/>
      <c r="N40" s="549"/>
      <c r="O40" s="543">
        <v>390000</v>
      </c>
      <c r="P40" s="548"/>
      <c r="Q40" s="543"/>
      <c r="R40" s="383"/>
      <c r="S40" s="333"/>
    </row>
    <row r="41" spans="1:20" s="297" customFormat="1" ht="30" outlineLevel="2">
      <c r="A41" s="254">
        <f>MAX(A$14:$A40)+1</f>
        <v>27</v>
      </c>
      <c r="B41" s="355" t="s">
        <v>383</v>
      </c>
      <c r="C41" s="391" t="s">
        <v>293</v>
      </c>
      <c r="D41" s="349" t="s">
        <v>173</v>
      </c>
      <c r="E41" s="358" t="s">
        <v>384</v>
      </c>
      <c r="F41" s="358" t="s">
        <v>385</v>
      </c>
      <c r="G41" s="391" t="s">
        <v>300</v>
      </c>
      <c r="H41" s="349"/>
      <c r="I41" s="543">
        <v>26000</v>
      </c>
      <c r="J41" s="543">
        <v>0</v>
      </c>
      <c r="K41" s="543">
        <v>26000</v>
      </c>
      <c r="L41" s="543"/>
      <c r="M41" s="543"/>
      <c r="N41" s="543"/>
      <c r="O41" s="543">
        <v>26000</v>
      </c>
      <c r="P41" s="543"/>
      <c r="Q41" s="543"/>
      <c r="R41" s="383"/>
      <c r="S41" s="333"/>
    </row>
    <row r="42" spans="1:20" s="297" customFormat="1" ht="30" outlineLevel="2">
      <c r="A42" s="254">
        <f>MAX(A$14:$A41)+1</f>
        <v>28</v>
      </c>
      <c r="B42" s="355" t="s">
        <v>386</v>
      </c>
      <c r="C42" s="391" t="s">
        <v>293</v>
      </c>
      <c r="D42" s="349" t="s">
        <v>173</v>
      </c>
      <c r="E42" s="358" t="s">
        <v>387</v>
      </c>
      <c r="F42" s="358" t="s">
        <v>388</v>
      </c>
      <c r="G42" s="391" t="s">
        <v>300</v>
      </c>
      <c r="H42" s="349"/>
      <c r="I42" s="543">
        <v>23000</v>
      </c>
      <c r="J42" s="543">
        <v>0</v>
      </c>
      <c r="K42" s="543">
        <v>23000</v>
      </c>
      <c r="L42" s="543"/>
      <c r="M42" s="543"/>
      <c r="N42" s="543"/>
      <c r="O42" s="543">
        <v>23000</v>
      </c>
      <c r="P42" s="543"/>
      <c r="Q42" s="543"/>
      <c r="R42" s="383"/>
      <c r="S42" s="333"/>
    </row>
    <row r="43" spans="1:20" s="297" customFormat="1" ht="30" outlineLevel="2">
      <c r="A43" s="254">
        <f>MAX(A$14:$A42)+1</f>
        <v>29</v>
      </c>
      <c r="B43" s="355" t="s">
        <v>389</v>
      </c>
      <c r="C43" s="391" t="s">
        <v>293</v>
      </c>
      <c r="D43" s="349" t="s">
        <v>101</v>
      </c>
      <c r="E43" s="358" t="s">
        <v>390</v>
      </c>
      <c r="F43" s="358" t="s">
        <v>391</v>
      </c>
      <c r="G43" s="391" t="s">
        <v>300</v>
      </c>
      <c r="H43" s="349"/>
      <c r="I43" s="543">
        <v>100000</v>
      </c>
      <c r="J43" s="543"/>
      <c r="K43" s="543">
        <v>100000</v>
      </c>
      <c r="L43" s="543"/>
      <c r="M43" s="543"/>
      <c r="N43" s="543"/>
      <c r="O43" s="543">
        <v>100000</v>
      </c>
      <c r="P43" s="543"/>
      <c r="Q43" s="543"/>
      <c r="R43" s="383"/>
      <c r="S43" s="333"/>
    </row>
    <row r="44" spans="1:20" s="297" customFormat="1" ht="25.5" outlineLevel="2">
      <c r="A44" s="254">
        <f>MAX(A$14:$A43)+1</f>
        <v>30</v>
      </c>
      <c r="B44" s="369" t="s">
        <v>392</v>
      </c>
      <c r="C44" s="391" t="s">
        <v>293</v>
      </c>
      <c r="D44" s="349" t="s">
        <v>173</v>
      </c>
      <c r="E44" s="358" t="s">
        <v>393</v>
      </c>
      <c r="F44" s="358" t="s">
        <v>394</v>
      </c>
      <c r="G44" s="391" t="s">
        <v>300</v>
      </c>
      <c r="H44" s="349"/>
      <c r="I44" s="543">
        <v>125000</v>
      </c>
      <c r="J44" s="544"/>
      <c r="K44" s="550">
        <v>125000</v>
      </c>
      <c r="L44" s="544"/>
      <c r="M44" s="544"/>
      <c r="N44" s="544"/>
      <c r="O44" s="543">
        <v>125000</v>
      </c>
      <c r="P44" s="543"/>
      <c r="Q44" s="353"/>
      <c r="R44" s="383" t="s">
        <v>395</v>
      </c>
      <c r="S44" s="333"/>
    </row>
    <row r="45" spans="1:20" s="297" customFormat="1" ht="30" outlineLevel="2">
      <c r="A45" s="254">
        <f>MAX(A$14:$A44)+1</f>
        <v>31</v>
      </c>
      <c r="B45" s="355" t="s">
        <v>396</v>
      </c>
      <c r="C45" s="391" t="s">
        <v>293</v>
      </c>
      <c r="D45" s="349" t="s">
        <v>173</v>
      </c>
      <c r="E45" s="370" t="s">
        <v>397</v>
      </c>
      <c r="F45" s="358" t="s">
        <v>398</v>
      </c>
      <c r="G45" s="391">
        <v>2028</v>
      </c>
      <c r="H45" s="371"/>
      <c r="I45" s="543">
        <v>45000</v>
      </c>
      <c r="J45" s="544"/>
      <c r="K45" s="550">
        <v>45000</v>
      </c>
      <c r="L45" s="544"/>
      <c r="M45" s="544"/>
      <c r="N45" s="544"/>
      <c r="O45" s="543">
        <v>45000</v>
      </c>
      <c r="P45" s="548"/>
      <c r="Q45" s="353"/>
      <c r="R45" s="383"/>
      <c r="S45" s="333"/>
    </row>
    <row r="46" spans="1:20" s="297" customFormat="1" ht="90" outlineLevel="2">
      <c r="A46" s="254">
        <f>MAX(A$14:$A45)+1</f>
        <v>32</v>
      </c>
      <c r="B46" s="356" t="s">
        <v>399</v>
      </c>
      <c r="C46" s="554" t="s">
        <v>293</v>
      </c>
      <c r="D46" s="349" t="s">
        <v>173</v>
      </c>
      <c r="E46" s="359" t="s">
        <v>400</v>
      </c>
      <c r="F46" s="359" t="s">
        <v>401</v>
      </c>
      <c r="G46" s="391" t="s">
        <v>211</v>
      </c>
      <c r="H46" s="355"/>
      <c r="I46" s="543">
        <v>55000</v>
      </c>
      <c r="J46" s="543"/>
      <c r="K46" s="543">
        <v>55000</v>
      </c>
      <c r="L46" s="543"/>
      <c r="M46" s="543"/>
      <c r="N46" s="543"/>
      <c r="O46" s="543">
        <v>55000</v>
      </c>
      <c r="P46" s="543"/>
      <c r="Q46" s="543"/>
      <c r="R46" s="383" t="s">
        <v>402</v>
      </c>
      <c r="S46" s="396" t="s">
        <v>403</v>
      </c>
    </row>
    <row r="47" spans="1:20" s="297" customFormat="1" ht="62.25" customHeight="1" outlineLevel="2">
      <c r="A47" s="254">
        <f>MAX(A$14:$A46)+1</f>
        <v>33</v>
      </c>
      <c r="B47" s="356" t="s">
        <v>404</v>
      </c>
      <c r="C47" s="554" t="s">
        <v>293</v>
      </c>
      <c r="D47" s="357" t="s">
        <v>101</v>
      </c>
      <c r="E47" s="359" t="s">
        <v>405</v>
      </c>
      <c r="F47" s="359" t="s">
        <v>406</v>
      </c>
      <c r="G47" s="391" t="s">
        <v>300</v>
      </c>
      <c r="H47" s="355"/>
      <c r="I47" s="543">
        <f>J47</f>
        <v>894000</v>
      </c>
      <c r="J47" s="543">
        <v>894000</v>
      </c>
      <c r="K47" s="543"/>
      <c r="L47" s="543"/>
      <c r="M47" s="543"/>
      <c r="N47" s="543"/>
      <c r="O47" s="543">
        <v>894000</v>
      </c>
      <c r="P47" s="543"/>
      <c r="Q47" s="543"/>
      <c r="R47" s="383" t="s">
        <v>407</v>
      </c>
      <c r="S47" s="396" t="s">
        <v>403</v>
      </c>
    </row>
    <row r="48" spans="1:20" s="297" customFormat="1" ht="60" outlineLevel="2">
      <c r="A48" s="254">
        <f>MAX(A$14:$A47)+1</f>
        <v>34</v>
      </c>
      <c r="B48" s="356" t="s">
        <v>408</v>
      </c>
      <c r="C48" s="556" t="s">
        <v>594</v>
      </c>
      <c r="D48" s="357" t="s">
        <v>101</v>
      </c>
      <c r="E48" s="359" t="s">
        <v>304</v>
      </c>
      <c r="F48" s="359" t="s">
        <v>409</v>
      </c>
      <c r="G48" s="397" t="s">
        <v>300</v>
      </c>
      <c r="H48" s="398"/>
      <c r="I48" s="399">
        <v>350000</v>
      </c>
      <c r="J48" s="399">
        <v>350000</v>
      </c>
      <c r="K48" s="400"/>
      <c r="L48" s="400"/>
      <c r="M48" s="400"/>
      <c r="N48" s="400"/>
      <c r="O48" s="399">
        <v>350000</v>
      </c>
      <c r="P48" s="399"/>
      <c r="Q48" s="399"/>
      <c r="R48" s="383" t="s">
        <v>410</v>
      </c>
      <c r="S48" s="396" t="s">
        <v>403</v>
      </c>
      <c r="T48" s="297" t="s">
        <v>596</v>
      </c>
    </row>
    <row r="49" spans="1:20" s="297" customFormat="1" ht="77.25" customHeight="1" outlineLevel="2">
      <c r="A49" s="254">
        <f>MAX(A$14:$A48)+1</f>
        <v>35</v>
      </c>
      <c r="B49" s="401" t="s">
        <v>411</v>
      </c>
      <c r="C49" s="556" t="s">
        <v>594</v>
      </c>
      <c r="D49" s="349" t="s">
        <v>101</v>
      </c>
      <c r="E49" s="358" t="s">
        <v>270</v>
      </c>
      <c r="F49" s="358" t="s">
        <v>412</v>
      </c>
      <c r="G49" s="391" t="s">
        <v>300</v>
      </c>
      <c r="H49" s="349"/>
      <c r="I49" s="543">
        <v>350000</v>
      </c>
      <c r="J49" s="543">
        <v>300000</v>
      </c>
      <c r="K49" s="543">
        <v>50000</v>
      </c>
      <c r="L49" s="543"/>
      <c r="M49" s="543"/>
      <c r="N49" s="543"/>
      <c r="O49" s="543">
        <v>350000</v>
      </c>
      <c r="P49" s="543"/>
      <c r="Q49" s="543"/>
      <c r="R49" s="383" t="s">
        <v>413</v>
      </c>
      <c r="S49" s="402"/>
      <c r="T49" s="297" t="s">
        <v>597</v>
      </c>
    </row>
    <row r="50" spans="1:20" s="297" customFormat="1" ht="84" outlineLevel="2">
      <c r="A50" s="254">
        <f>MAX(A$14:$A49)+1</f>
        <v>36</v>
      </c>
      <c r="B50" s="355" t="s">
        <v>414</v>
      </c>
      <c r="C50" s="554" t="s">
        <v>293</v>
      </c>
      <c r="D50" s="349" t="s">
        <v>173</v>
      </c>
      <c r="E50" s="358" t="s">
        <v>415</v>
      </c>
      <c r="F50" s="358" t="s">
        <v>416</v>
      </c>
      <c r="G50" s="391" t="s">
        <v>330</v>
      </c>
      <c r="H50" s="349"/>
      <c r="I50" s="543">
        <f t="shared" ref="I50:I72" si="5">+J50+K50</f>
        <v>20000</v>
      </c>
      <c r="J50" s="543">
        <v>20000</v>
      </c>
      <c r="K50" s="543">
        <v>0</v>
      </c>
      <c r="L50" s="543"/>
      <c r="M50" s="543"/>
      <c r="N50" s="543"/>
      <c r="O50" s="543">
        <v>20000</v>
      </c>
      <c r="P50" s="543"/>
      <c r="Q50" s="543"/>
      <c r="R50" s="383" t="s">
        <v>417</v>
      </c>
      <c r="S50" s="403"/>
    </row>
    <row r="51" spans="1:20" s="297" customFormat="1" ht="48" outlineLevel="2">
      <c r="A51" s="254">
        <f>MAX(A$14:$A50)+1</f>
        <v>37</v>
      </c>
      <c r="B51" s="355" t="s">
        <v>418</v>
      </c>
      <c r="C51" s="554" t="s">
        <v>293</v>
      </c>
      <c r="D51" s="349" t="s">
        <v>101</v>
      </c>
      <c r="E51" s="358" t="s">
        <v>419</v>
      </c>
      <c r="F51" s="358" t="s">
        <v>420</v>
      </c>
      <c r="G51" s="391" t="s">
        <v>330</v>
      </c>
      <c r="H51" s="349"/>
      <c r="I51" s="543">
        <f t="shared" si="5"/>
        <v>192200</v>
      </c>
      <c r="J51" s="543"/>
      <c r="K51" s="543">
        <v>192200</v>
      </c>
      <c r="L51" s="543"/>
      <c r="M51" s="543"/>
      <c r="N51" s="543"/>
      <c r="O51" s="543">
        <v>192200</v>
      </c>
      <c r="P51" s="543"/>
      <c r="Q51" s="543"/>
      <c r="R51" s="383" t="s">
        <v>421</v>
      </c>
      <c r="S51" s="404"/>
    </row>
    <row r="52" spans="1:20" s="297" customFormat="1" ht="45" outlineLevel="2">
      <c r="A52" s="254">
        <f>MAX(A$14:$A51)+1</f>
        <v>38</v>
      </c>
      <c r="B52" s="401" t="s">
        <v>422</v>
      </c>
      <c r="C52" s="554" t="s">
        <v>293</v>
      </c>
      <c r="D52" s="349" t="s">
        <v>173</v>
      </c>
      <c r="E52" s="358" t="s">
        <v>423</v>
      </c>
      <c r="F52" s="358" t="s">
        <v>420</v>
      </c>
      <c r="G52" s="391" t="s">
        <v>424</v>
      </c>
      <c r="H52" s="349"/>
      <c r="I52" s="543">
        <f t="shared" si="5"/>
        <v>70000</v>
      </c>
      <c r="J52" s="543"/>
      <c r="K52" s="543">
        <v>70000</v>
      </c>
      <c r="L52" s="543"/>
      <c r="M52" s="543"/>
      <c r="N52" s="543"/>
      <c r="O52" s="543">
        <v>70000</v>
      </c>
      <c r="P52" s="543"/>
      <c r="Q52" s="543"/>
      <c r="R52" s="383"/>
      <c r="S52" s="404"/>
    </row>
    <row r="53" spans="1:20" s="297" customFormat="1" ht="84" outlineLevel="2">
      <c r="A53" s="254">
        <f>MAX(A$14:$A52)+1</f>
        <v>39</v>
      </c>
      <c r="B53" s="369" t="s">
        <v>425</v>
      </c>
      <c r="C53" s="554" t="s">
        <v>293</v>
      </c>
      <c r="D53" s="349" t="s">
        <v>101</v>
      </c>
      <c r="E53" s="358" t="s">
        <v>426</v>
      </c>
      <c r="F53" s="358" t="s">
        <v>427</v>
      </c>
      <c r="G53" s="391" t="s">
        <v>428</v>
      </c>
      <c r="H53" s="349"/>
      <c r="I53" s="543">
        <f t="shared" si="5"/>
        <v>80000</v>
      </c>
      <c r="J53" s="543">
        <f>15000+65000</f>
        <v>80000</v>
      </c>
      <c r="K53" s="543"/>
      <c r="L53" s="543"/>
      <c r="M53" s="543"/>
      <c r="N53" s="543"/>
      <c r="O53" s="543">
        <v>80000</v>
      </c>
      <c r="P53" s="543"/>
      <c r="Q53" s="543"/>
      <c r="R53" s="383" t="s">
        <v>429</v>
      </c>
      <c r="S53" s="403"/>
    </row>
    <row r="54" spans="1:20" s="297" customFormat="1" ht="84" outlineLevel="2">
      <c r="A54" s="254">
        <f>MAX(A$14:$A53)+1</f>
        <v>40</v>
      </c>
      <c r="B54" s="369" t="s">
        <v>430</v>
      </c>
      <c r="C54" s="554" t="s">
        <v>293</v>
      </c>
      <c r="D54" s="349" t="s">
        <v>101</v>
      </c>
      <c r="E54" s="358" t="s">
        <v>431</v>
      </c>
      <c r="F54" s="358" t="s">
        <v>432</v>
      </c>
      <c r="G54" s="391" t="s">
        <v>428</v>
      </c>
      <c r="H54" s="349"/>
      <c r="I54" s="543">
        <f t="shared" si="5"/>
        <v>85000</v>
      </c>
      <c r="J54" s="543">
        <f>40000+45000</f>
        <v>85000</v>
      </c>
      <c r="K54" s="543"/>
      <c r="L54" s="543"/>
      <c r="M54" s="543"/>
      <c r="N54" s="543"/>
      <c r="O54" s="543">
        <v>85000</v>
      </c>
      <c r="P54" s="543"/>
      <c r="Q54" s="543"/>
      <c r="R54" s="383" t="s">
        <v>433</v>
      </c>
      <c r="S54" s="403"/>
    </row>
    <row r="55" spans="1:20" s="297" customFormat="1" ht="75" outlineLevel="2">
      <c r="A55" s="254">
        <f>MAX(A$14:$A54)+1</f>
        <v>41</v>
      </c>
      <c r="B55" s="355" t="s">
        <v>434</v>
      </c>
      <c r="C55" s="554" t="s">
        <v>293</v>
      </c>
      <c r="D55" s="349" t="s">
        <v>101</v>
      </c>
      <c r="E55" s="380" t="s">
        <v>435</v>
      </c>
      <c r="F55" s="358" t="s">
        <v>420</v>
      </c>
      <c r="G55" s="391" t="s">
        <v>300</v>
      </c>
      <c r="H55" s="349"/>
      <c r="I55" s="543">
        <f t="shared" si="5"/>
        <v>40000</v>
      </c>
      <c r="J55" s="543">
        <v>40000</v>
      </c>
      <c r="K55" s="543"/>
      <c r="L55" s="543"/>
      <c r="M55" s="543"/>
      <c r="N55" s="543"/>
      <c r="O55" s="543">
        <v>40000</v>
      </c>
      <c r="P55" s="543"/>
      <c r="Q55" s="543"/>
      <c r="R55" s="383"/>
      <c r="S55" s="405"/>
    </row>
    <row r="56" spans="1:20" s="297" customFormat="1" ht="50.25" customHeight="1" outlineLevel="2">
      <c r="A56" s="254">
        <f>MAX(A$14:$A55)+1</f>
        <v>42</v>
      </c>
      <c r="B56" s="369" t="s">
        <v>436</v>
      </c>
      <c r="C56" s="556" t="s">
        <v>594</v>
      </c>
      <c r="D56" s="349" t="s">
        <v>101</v>
      </c>
      <c r="E56" s="380" t="s">
        <v>435</v>
      </c>
      <c r="F56" s="358" t="s">
        <v>420</v>
      </c>
      <c r="G56" s="391" t="s">
        <v>300</v>
      </c>
      <c r="H56" s="349"/>
      <c r="I56" s="543">
        <f t="shared" si="5"/>
        <v>280000</v>
      </c>
      <c r="J56" s="543"/>
      <c r="K56" s="543">
        <v>280000</v>
      </c>
      <c r="L56" s="543"/>
      <c r="M56" s="543"/>
      <c r="N56" s="543"/>
      <c r="O56" s="543">
        <v>280000</v>
      </c>
      <c r="P56" s="543"/>
      <c r="Q56" s="543"/>
      <c r="R56" s="383" t="s">
        <v>508</v>
      </c>
      <c r="S56" s="405"/>
    </row>
    <row r="57" spans="1:20" s="297" customFormat="1" ht="51" outlineLevel="2">
      <c r="A57" s="254">
        <f>MAX(A$14:$A56)+1</f>
        <v>43</v>
      </c>
      <c r="B57" s="369" t="s">
        <v>437</v>
      </c>
      <c r="C57" s="556" t="s">
        <v>594</v>
      </c>
      <c r="D57" s="349" t="s">
        <v>101</v>
      </c>
      <c r="E57" s="380" t="s">
        <v>438</v>
      </c>
      <c r="F57" s="358" t="s">
        <v>420</v>
      </c>
      <c r="G57" s="391" t="s">
        <v>300</v>
      </c>
      <c r="H57" s="349"/>
      <c r="I57" s="543">
        <v>641300</v>
      </c>
      <c r="J57" s="543"/>
      <c r="K57" s="543">
        <v>641300</v>
      </c>
      <c r="L57" s="543"/>
      <c r="M57" s="543"/>
      <c r="N57" s="543"/>
      <c r="O57" s="543">
        <v>641300</v>
      </c>
      <c r="P57" s="543"/>
      <c r="Q57" s="543"/>
      <c r="R57" s="383"/>
      <c r="S57" s="406"/>
    </row>
    <row r="58" spans="1:20" s="297" customFormat="1" ht="48" outlineLevel="2">
      <c r="A58" s="254">
        <f>MAX(A$14:$A57)+1</f>
        <v>44</v>
      </c>
      <c r="B58" s="355" t="s">
        <v>439</v>
      </c>
      <c r="C58" s="554" t="s">
        <v>293</v>
      </c>
      <c r="D58" s="349" t="s">
        <v>173</v>
      </c>
      <c r="E58" s="358" t="s">
        <v>440</v>
      </c>
      <c r="F58" s="358" t="s">
        <v>420</v>
      </c>
      <c r="G58" s="391" t="s">
        <v>330</v>
      </c>
      <c r="H58" s="349"/>
      <c r="I58" s="543">
        <f t="shared" si="5"/>
        <v>50000</v>
      </c>
      <c r="J58" s="543">
        <v>50000</v>
      </c>
      <c r="K58" s="543"/>
      <c r="L58" s="543"/>
      <c r="M58" s="543"/>
      <c r="N58" s="543"/>
      <c r="O58" s="543">
        <v>50000</v>
      </c>
      <c r="P58" s="543"/>
      <c r="Q58" s="543"/>
      <c r="R58" s="383" t="s">
        <v>421</v>
      </c>
      <c r="S58" s="405"/>
    </row>
    <row r="59" spans="1:20" s="297" customFormat="1" ht="96" outlineLevel="2">
      <c r="A59" s="254">
        <f>MAX(A$14:$A58)+1</f>
        <v>45</v>
      </c>
      <c r="B59" s="369" t="s">
        <v>441</v>
      </c>
      <c r="C59" s="554" t="s">
        <v>293</v>
      </c>
      <c r="D59" s="349" t="s">
        <v>173</v>
      </c>
      <c r="E59" s="358" t="s">
        <v>442</v>
      </c>
      <c r="F59" s="358" t="s">
        <v>443</v>
      </c>
      <c r="G59" s="391" t="s">
        <v>444</v>
      </c>
      <c r="H59" s="349"/>
      <c r="I59" s="543">
        <f t="shared" si="5"/>
        <v>30000</v>
      </c>
      <c r="J59" s="543">
        <v>30000</v>
      </c>
      <c r="K59" s="543"/>
      <c r="L59" s="543"/>
      <c r="M59" s="543"/>
      <c r="N59" s="543"/>
      <c r="O59" s="543">
        <v>30000</v>
      </c>
      <c r="P59" s="543"/>
      <c r="Q59" s="543"/>
      <c r="R59" s="383" t="s">
        <v>445</v>
      </c>
      <c r="S59" s="403"/>
    </row>
    <row r="60" spans="1:20" s="297" customFormat="1" ht="96" outlineLevel="2">
      <c r="A60" s="254">
        <f>MAX(A$14:$A59)+1</f>
        <v>46</v>
      </c>
      <c r="B60" s="355" t="s">
        <v>446</v>
      </c>
      <c r="C60" s="556" t="s">
        <v>594</v>
      </c>
      <c r="D60" s="349" t="s">
        <v>173</v>
      </c>
      <c r="E60" s="358" t="s">
        <v>447</v>
      </c>
      <c r="F60" s="358" t="s">
        <v>448</v>
      </c>
      <c r="G60" s="391" t="s">
        <v>330</v>
      </c>
      <c r="H60" s="349"/>
      <c r="I60" s="543">
        <f t="shared" si="5"/>
        <v>45000</v>
      </c>
      <c r="J60" s="543">
        <v>45000</v>
      </c>
      <c r="K60" s="543"/>
      <c r="L60" s="543"/>
      <c r="M60" s="543"/>
      <c r="N60" s="543"/>
      <c r="O60" s="543">
        <v>45000</v>
      </c>
      <c r="P60" s="543"/>
      <c r="Q60" s="543"/>
      <c r="R60" s="383" t="s">
        <v>449</v>
      </c>
      <c r="S60" s="403"/>
    </row>
    <row r="61" spans="1:20" s="297" customFormat="1" ht="96" outlineLevel="2">
      <c r="A61" s="254">
        <f>MAX(A$14:$A60)+1</f>
        <v>47</v>
      </c>
      <c r="B61" s="369" t="s">
        <v>450</v>
      </c>
      <c r="C61" s="554" t="s">
        <v>293</v>
      </c>
      <c r="D61" s="349" t="s">
        <v>173</v>
      </c>
      <c r="E61" s="358" t="s">
        <v>451</v>
      </c>
      <c r="F61" s="358" t="s">
        <v>452</v>
      </c>
      <c r="G61" s="391" t="s">
        <v>330</v>
      </c>
      <c r="H61" s="349"/>
      <c r="I61" s="543">
        <f t="shared" si="5"/>
        <v>15000</v>
      </c>
      <c r="J61" s="543">
        <v>15000</v>
      </c>
      <c r="K61" s="543"/>
      <c r="L61" s="543"/>
      <c r="M61" s="543"/>
      <c r="N61" s="543"/>
      <c r="O61" s="543">
        <v>15000</v>
      </c>
      <c r="P61" s="543"/>
      <c r="Q61" s="543"/>
      <c r="R61" s="383" t="s">
        <v>453</v>
      </c>
      <c r="S61" s="403"/>
    </row>
    <row r="62" spans="1:20" s="297" customFormat="1" ht="90" outlineLevel="2">
      <c r="A62" s="254">
        <f>MAX(A$14:$A61)+1</f>
        <v>48</v>
      </c>
      <c r="B62" s="407" t="s">
        <v>454</v>
      </c>
      <c r="C62" s="554" t="s">
        <v>293</v>
      </c>
      <c r="D62" s="349" t="s">
        <v>101</v>
      </c>
      <c r="E62" s="358" t="s">
        <v>455</v>
      </c>
      <c r="F62" s="358" t="s">
        <v>456</v>
      </c>
      <c r="G62" s="391" t="s">
        <v>300</v>
      </c>
      <c r="H62" s="349"/>
      <c r="I62" s="543">
        <f t="shared" si="5"/>
        <v>120000</v>
      </c>
      <c r="J62" s="543">
        <v>120000</v>
      </c>
      <c r="K62" s="543"/>
      <c r="L62" s="543"/>
      <c r="M62" s="543"/>
      <c r="N62" s="543"/>
      <c r="O62" s="543">
        <v>120000</v>
      </c>
      <c r="P62" s="543"/>
      <c r="Q62" s="543"/>
      <c r="R62" s="383" t="s">
        <v>457</v>
      </c>
      <c r="S62" s="403"/>
    </row>
    <row r="63" spans="1:20" s="297" customFormat="1" ht="36" outlineLevel="2">
      <c r="A63" s="254">
        <f>MAX(A$14:$A62)+1</f>
        <v>49</v>
      </c>
      <c r="B63" s="401" t="s">
        <v>458</v>
      </c>
      <c r="C63" s="554" t="s">
        <v>293</v>
      </c>
      <c r="D63" s="349" t="s">
        <v>101</v>
      </c>
      <c r="E63" s="358" t="s">
        <v>459</v>
      </c>
      <c r="F63" s="358" t="s">
        <v>460</v>
      </c>
      <c r="G63" s="391" t="s">
        <v>300</v>
      </c>
      <c r="H63" s="349"/>
      <c r="I63" s="543">
        <f t="shared" si="5"/>
        <v>150000</v>
      </c>
      <c r="J63" s="543"/>
      <c r="K63" s="543">
        <v>150000</v>
      </c>
      <c r="L63" s="543"/>
      <c r="M63" s="543"/>
      <c r="N63" s="543"/>
      <c r="O63" s="543">
        <v>150000</v>
      </c>
      <c r="P63" s="543"/>
      <c r="Q63" s="543"/>
      <c r="R63" s="383"/>
      <c r="S63" s="404"/>
    </row>
    <row r="64" spans="1:20" s="297" customFormat="1" ht="45" outlineLevel="2">
      <c r="A64" s="254">
        <f>MAX(A$14:$A63)+1</f>
        <v>50</v>
      </c>
      <c r="B64" s="401" t="s">
        <v>461</v>
      </c>
      <c r="C64" s="391" t="s">
        <v>293</v>
      </c>
      <c r="D64" s="349" t="s">
        <v>173</v>
      </c>
      <c r="E64" s="358" t="s">
        <v>462</v>
      </c>
      <c r="F64" s="358" t="s">
        <v>420</v>
      </c>
      <c r="G64" s="391" t="s">
        <v>300</v>
      </c>
      <c r="H64" s="349"/>
      <c r="I64" s="543">
        <f>+J64+K64</f>
        <v>50000</v>
      </c>
      <c r="J64" s="543"/>
      <c r="K64" s="543">
        <v>50000</v>
      </c>
      <c r="L64" s="543"/>
      <c r="M64" s="543"/>
      <c r="N64" s="543"/>
      <c r="O64" s="543">
        <v>50000</v>
      </c>
      <c r="P64" s="543"/>
      <c r="Q64" s="543"/>
      <c r="R64" s="383"/>
      <c r="S64" s="404"/>
    </row>
    <row r="65" spans="1:19" s="297" customFormat="1" ht="30" outlineLevel="2">
      <c r="A65" s="254">
        <f>MAX(A$14:$A64)+1</f>
        <v>51</v>
      </c>
      <c r="B65" s="401" t="s">
        <v>463</v>
      </c>
      <c r="C65" s="391" t="s">
        <v>293</v>
      </c>
      <c r="D65" s="349" t="s">
        <v>101</v>
      </c>
      <c r="E65" s="358" t="s">
        <v>464</v>
      </c>
      <c r="F65" s="358" t="s">
        <v>420</v>
      </c>
      <c r="G65" s="391" t="s">
        <v>300</v>
      </c>
      <c r="H65" s="349"/>
      <c r="I65" s="543">
        <f>+J65+K65</f>
        <v>92000</v>
      </c>
      <c r="J65" s="543"/>
      <c r="K65" s="543">
        <v>92000</v>
      </c>
      <c r="L65" s="543"/>
      <c r="M65" s="543"/>
      <c r="N65" s="543"/>
      <c r="O65" s="543">
        <v>92000</v>
      </c>
      <c r="P65" s="543"/>
      <c r="Q65" s="543"/>
      <c r="R65" s="383"/>
      <c r="S65" s="404"/>
    </row>
    <row r="66" spans="1:19" s="297" customFormat="1" ht="30" outlineLevel="2">
      <c r="A66" s="254">
        <f>MAX(A$14:$A65)+1</f>
        <v>52</v>
      </c>
      <c r="B66" s="401" t="s">
        <v>465</v>
      </c>
      <c r="C66" s="391" t="s">
        <v>293</v>
      </c>
      <c r="D66" s="349" t="s">
        <v>101</v>
      </c>
      <c r="E66" s="358" t="s">
        <v>464</v>
      </c>
      <c r="F66" s="358" t="s">
        <v>420</v>
      </c>
      <c r="G66" s="391" t="s">
        <v>300</v>
      </c>
      <c r="H66" s="349"/>
      <c r="I66" s="543">
        <f>+J66+K66</f>
        <v>84000</v>
      </c>
      <c r="J66" s="543"/>
      <c r="K66" s="543">
        <v>84000</v>
      </c>
      <c r="L66" s="543"/>
      <c r="M66" s="543"/>
      <c r="N66" s="543"/>
      <c r="O66" s="543">
        <v>84000</v>
      </c>
      <c r="P66" s="543"/>
      <c r="Q66" s="543"/>
      <c r="R66" s="383"/>
      <c r="S66" s="404"/>
    </row>
    <row r="67" spans="1:19" s="297" customFormat="1" ht="51" outlineLevel="2">
      <c r="A67" s="254">
        <f>MAX(A$14:$A66)+1</f>
        <v>53</v>
      </c>
      <c r="B67" s="369" t="s">
        <v>466</v>
      </c>
      <c r="C67" s="556" t="s">
        <v>594</v>
      </c>
      <c r="D67" s="349" t="s">
        <v>101</v>
      </c>
      <c r="E67" s="380" t="s">
        <v>467</v>
      </c>
      <c r="F67" s="358" t="s">
        <v>420</v>
      </c>
      <c r="G67" s="391" t="s">
        <v>300</v>
      </c>
      <c r="H67" s="349"/>
      <c r="I67" s="543">
        <f t="shared" si="5"/>
        <v>135000</v>
      </c>
      <c r="J67" s="543"/>
      <c r="K67" s="543">
        <v>135000</v>
      </c>
      <c r="L67" s="543"/>
      <c r="M67" s="543"/>
      <c r="N67" s="543"/>
      <c r="O67" s="543">
        <v>135000</v>
      </c>
      <c r="P67" s="543"/>
      <c r="Q67" s="543"/>
      <c r="R67" s="383" t="s">
        <v>509</v>
      </c>
      <c r="S67" s="405"/>
    </row>
    <row r="68" spans="1:19" s="297" customFormat="1" ht="45" outlineLevel="2">
      <c r="A68" s="254">
        <f>MAX(A$14:$A67)+1</f>
        <v>54</v>
      </c>
      <c r="B68" s="401" t="s">
        <v>468</v>
      </c>
      <c r="C68" s="391" t="s">
        <v>293</v>
      </c>
      <c r="D68" s="349" t="s">
        <v>101</v>
      </c>
      <c r="E68" s="358" t="s">
        <v>469</v>
      </c>
      <c r="F68" s="358" t="s">
        <v>420</v>
      </c>
      <c r="G68" s="391" t="s">
        <v>300</v>
      </c>
      <c r="H68" s="349"/>
      <c r="I68" s="543">
        <f t="shared" si="5"/>
        <v>200000</v>
      </c>
      <c r="J68" s="543"/>
      <c r="K68" s="543">
        <v>200000</v>
      </c>
      <c r="L68" s="543"/>
      <c r="M68" s="543"/>
      <c r="N68" s="543"/>
      <c r="O68" s="543">
        <v>200000</v>
      </c>
      <c r="P68" s="543"/>
      <c r="Q68" s="543"/>
      <c r="R68" s="383"/>
      <c r="S68" s="404"/>
    </row>
    <row r="69" spans="1:19" s="297" customFormat="1" ht="30" outlineLevel="2">
      <c r="A69" s="254">
        <f>MAX(A$14:$A68)+1</f>
        <v>55</v>
      </c>
      <c r="B69" s="355" t="s">
        <v>470</v>
      </c>
      <c r="C69" s="554" t="s">
        <v>293</v>
      </c>
      <c r="D69" s="349" t="s">
        <v>173</v>
      </c>
      <c r="E69" s="380" t="s">
        <v>435</v>
      </c>
      <c r="F69" s="408" t="s">
        <v>471</v>
      </c>
      <c r="G69" s="391" t="s">
        <v>212</v>
      </c>
      <c r="H69" s="349"/>
      <c r="I69" s="543">
        <f t="shared" si="5"/>
        <v>30000</v>
      </c>
      <c r="J69" s="543">
        <v>30000</v>
      </c>
      <c r="K69" s="543"/>
      <c r="L69" s="544"/>
      <c r="M69" s="544"/>
      <c r="N69" s="544"/>
      <c r="O69" s="543">
        <v>30000</v>
      </c>
      <c r="P69" s="543"/>
      <c r="Q69" s="543"/>
      <c r="R69" s="383"/>
      <c r="S69" s="403"/>
    </row>
    <row r="70" spans="1:19" s="297" customFormat="1" ht="51" outlineLevel="2">
      <c r="A70" s="254">
        <f>MAX(A$14:$A69)+1</f>
        <v>56</v>
      </c>
      <c r="B70" s="355" t="s">
        <v>472</v>
      </c>
      <c r="C70" s="556" t="s">
        <v>594</v>
      </c>
      <c r="D70" s="349" t="s">
        <v>173</v>
      </c>
      <c r="E70" s="380" t="s">
        <v>473</v>
      </c>
      <c r="F70" s="408" t="s">
        <v>474</v>
      </c>
      <c r="G70" s="391" t="s">
        <v>330</v>
      </c>
      <c r="H70" s="349"/>
      <c r="I70" s="543">
        <f t="shared" si="5"/>
        <v>40000</v>
      </c>
      <c r="J70" s="543">
        <v>40000</v>
      </c>
      <c r="K70" s="543"/>
      <c r="L70" s="544"/>
      <c r="M70" s="544"/>
      <c r="N70" s="544"/>
      <c r="O70" s="543">
        <v>40000</v>
      </c>
      <c r="P70" s="543"/>
      <c r="Q70" s="543"/>
      <c r="R70" s="383"/>
      <c r="S70" s="403"/>
    </row>
    <row r="71" spans="1:19" s="297" customFormat="1" ht="25.5" outlineLevel="2">
      <c r="A71" s="254">
        <f>MAX(A$14:$A70)+1</f>
        <v>57</v>
      </c>
      <c r="B71" s="355" t="s">
        <v>475</v>
      </c>
      <c r="C71" s="554" t="s">
        <v>293</v>
      </c>
      <c r="D71" s="349" t="s">
        <v>173</v>
      </c>
      <c r="E71" s="380" t="s">
        <v>476</v>
      </c>
      <c r="F71" s="408" t="s">
        <v>477</v>
      </c>
      <c r="G71" s="391" t="s">
        <v>212</v>
      </c>
      <c r="H71" s="349"/>
      <c r="I71" s="543">
        <f t="shared" si="5"/>
        <v>30000</v>
      </c>
      <c r="J71" s="543">
        <v>30000</v>
      </c>
      <c r="K71" s="543"/>
      <c r="L71" s="544"/>
      <c r="M71" s="544"/>
      <c r="N71" s="544"/>
      <c r="O71" s="543">
        <v>30000</v>
      </c>
      <c r="P71" s="543"/>
      <c r="Q71" s="543"/>
      <c r="R71" s="383"/>
      <c r="S71" s="403"/>
    </row>
    <row r="72" spans="1:19" s="297" customFormat="1" ht="25.5" outlineLevel="2">
      <c r="A72" s="254">
        <f>MAX(A$14:$A71)+1</f>
        <v>58</v>
      </c>
      <c r="B72" s="355" t="s">
        <v>478</v>
      </c>
      <c r="C72" s="554" t="s">
        <v>293</v>
      </c>
      <c r="D72" s="349" t="s">
        <v>173</v>
      </c>
      <c r="E72" s="380" t="s">
        <v>476</v>
      </c>
      <c r="F72" s="408" t="s">
        <v>477</v>
      </c>
      <c r="G72" s="391" t="s">
        <v>212</v>
      </c>
      <c r="H72" s="349"/>
      <c r="I72" s="543">
        <f t="shared" si="5"/>
        <v>35000</v>
      </c>
      <c r="J72" s="543">
        <v>35000</v>
      </c>
      <c r="K72" s="543"/>
      <c r="L72" s="544"/>
      <c r="M72" s="544"/>
      <c r="N72" s="544"/>
      <c r="O72" s="543">
        <v>35000</v>
      </c>
      <c r="P72" s="543"/>
      <c r="Q72" s="543"/>
      <c r="R72" s="383"/>
      <c r="S72" s="403"/>
    </row>
    <row r="73" spans="1:19" s="297" customFormat="1" ht="30.75" customHeight="1">
      <c r="A73" s="527" t="s">
        <v>836</v>
      </c>
      <c r="B73" s="298" t="s">
        <v>175</v>
      </c>
      <c r="C73" s="394"/>
      <c r="D73" s="343"/>
      <c r="E73" s="344"/>
      <c r="F73" s="344"/>
      <c r="G73" s="394"/>
      <c r="H73" s="343"/>
      <c r="I73" s="346">
        <f>I74+I92+I119+I124+I129</f>
        <v>6454000</v>
      </c>
      <c r="J73" s="346">
        <f t="shared" ref="J73:Q73" si="6">J74+J92+J119+J124+J129</f>
        <v>1500000</v>
      </c>
      <c r="K73" s="346">
        <f t="shared" si="6"/>
        <v>4954000</v>
      </c>
      <c r="L73" s="346">
        <f t="shared" si="6"/>
        <v>0</v>
      </c>
      <c r="M73" s="346">
        <f t="shared" si="6"/>
        <v>0</v>
      </c>
      <c r="N73" s="346">
        <f t="shared" si="6"/>
        <v>0</v>
      </c>
      <c r="O73" s="346">
        <f t="shared" si="6"/>
        <v>5338600</v>
      </c>
      <c r="P73" s="346">
        <f t="shared" si="6"/>
        <v>0</v>
      </c>
      <c r="Q73" s="346">
        <f t="shared" si="6"/>
        <v>0</v>
      </c>
      <c r="R73" s="344"/>
      <c r="S73" s="297">
        <f>I73-[3]Sheet1!$J$16</f>
        <v>70000</v>
      </c>
    </row>
    <row r="74" spans="1:19" ht="15.75" hidden="1" customHeight="1" outlineLevel="1">
      <c r="A74" s="300"/>
      <c r="B74" s="301" t="s">
        <v>479</v>
      </c>
      <c r="C74" s="557"/>
      <c r="D74" s="302"/>
      <c r="E74" s="336"/>
      <c r="F74" s="336"/>
      <c r="G74" s="393"/>
      <c r="H74" s="302"/>
      <c r="I74" s="303">
        <f>SUM(I75:I91)</f>
        <v>1660000</v>
      </c>
      <c r="J74" s="303">
        <f t="shared" ref="J74:Q74" si="7">SUM(J75:J91)</f>
        <v>900000</v>
      </c>
      <c r="K74" s="303">
        <f t="shared" si="7"/>
        <v>760000</v>
      </c>
      <c r="L74" s="304">
        <f t="shared" si="7"/>
        <v>0</v>
      </c>
      <c r="M74" s="304">
        <f t="shared" si="7"/>
        <v>0</v>
      </c>
      <c r="N74" s="304">
        <f t="shared" si="7"/>
        <v>0</v>
      </c>
      <c r="O74" s="303">
        <f t="shared" si="7"/>
        <v>1454000</v>
      </c>
      <c r="P74" s="303">
        <f t="shared" si="7"/>
        <v>0</v>
      </c>
      <c r="Q74" s="303">
        <f t="shared" si="7"/>
        <v>0</v>
      </c>
      <c r="R74" s="389"/>
      <c r="S74" s="296">
        <f>I74-[3]Sheet1!$J$17</f>
        <v>0</v>
      </c>
    </row>
    <row r="75" spans="1:19" s="460" customFormat="1" ht="60.75" hidden="1" customHeight="1" outlineLevel="2">
      <c r="A75" s="453">
        <v>1</v>
      </c>
      <c r="B75" s="412" t="s">
        <v>203</v>
      </c>
      <c r="C75" s="454" t="s">
        <v>208</v>
      </c>
      <c r="D75" s="453" t="str">
        <f>IF(I75&gt;=45000,"B","C")</f>
        <v>B</v>
      </c>
      <c r="E75" s="452" t="s">
        <v>209</v>
      </c>
      <c r="F75" s="452" t="s">
        <v>210</v>
      </c>
      <c r="G75" s="454" t="s">
        <v>211</v>
      </c>
      <c r="H75" s="453"/>
      <c r="I75" s="457">
        <v>150000</v>
      </c>
      <c r="J75" s="457">
        <f>I75</f>
        <v>150000</v>
      </c>
      <c r="K75" s="418"/>
      <c r="L75" s="258"/>
      <c r="M75" s="418"/>
      <c r="N75" s="418"/>
      <c r="O75" s="457">
        <v>135000</v>
      </c>
      <c r="P75" s="457"/>
      <c r="Q75" s="418"/>
      <c r="R75" s="464" t="s">
        <v>592</v>
      </c>
      <c r="S75" s="461"/>
    </row>
    <row r="76" spans="1:19" s="460" customFormat="1" ht="90" hidden="1" outlineLevel="2">
      <c r="A76" s="411">
        <f>MAX(A$75:$A75)+1</f>
        <v>2</v>
      </c>
      <c r="B76" s="412" t="s">
        <v>204</v>
      </c>
      <c r="C76" s="454" t="s">
        <v>208</v>
      </c>
      <c r="D76" s="453" t="str">
        <f t="shared" ref="D76:D117" si="8">IF(I76&gt;=45000,"B","C")</f>
        <v>B</v>
      </c>
      <c r="E76" s="452" t="s">
        <v>209</v>
      </c>
      <c r="F76" s="452" t="s">
        <v>214</v>
      </c>
      <c r="G76" s="454" t="s">
        <v>211</v>
      </c>
      <c r="H76" s="455"/>
      <c r="I76" s="456">
        <v>300000</v>
      </c>
      <c r="J76" s="457">
        <f>I76</f>
        <v>300000</v>
      </c>
      <c r="K76" s="458"/>
      <c r="L76" s="458"/>
      <c r="M76" s="458"/>
      <c r="N76" s="458"/>
      <c r="O76" s="457">
        <v>270000</v>
      </c>
      <c r="P76" s="457"/>
      <c r="Q76" s="294"/>
      <c r="R76" s="459" t="s">
        <v>592</v>
      </c>
    </row>
    <row r="77" spans="1:19" s="297" customFormat="1" ht="78" hidden="1" customHeight="1" outlineLevel="2">
      <c r="A77" s="254">
        <f>MAX(A$75:$A76)+1</f>
        <v>3</v>
      </c>
      <c r="B77" s="255" t="s">
        <v>205</v>
      </c>
      <c r="C77" s="263" t="s">
        <v>208</v>
      </c>
      <c r="D77" s="293" t="str">
        <f t="shared" si="8"/>
        <v>B</v>
      </c>
      <c r="E77" s="337" t="s">
        <v>209</v>
      </c>
      <c r="F77" s="337" t="s">
        <v>214</v>
      </c>
      <c r="G77" s="263" t="s">
        <v>212</v>
      </c>
      <c r="H77" s="306"/>
      <c r="I77" s="294">
        <v>50000</v>
      </c>
      <c r="J77" s="305"/>
      <c r="K77" s="294">
        <v>50000</v>
      </c>
      <c r="L77" s="292"/>
      <c r="M77" s="292"/>
      <c r="N77" s="292"/>
      <c r="O77" s="457">
        <v>45000</v>
      </c>
      <c r="P77" s="305"/>
      <c r="Q77" s="294"/>
      <c r="R77" s="384"/>
    </row>
    <row r="78" spans="1:19" s="297" customFormat="1" ht="47.25" hidden="1" customHeight="1" outlineLevel="2">
      <c r="A78" s="254">
        <f>MAX(A$75:$A77)+1</f>
        <v>4</v>
      </c>
      <c r="B78" s="255" t="s">
        <v>206</v>
      </c>
      <c r="C78" s="263" t="s">
        <v>208</v>
      </c>
      <c r="D78" s="293" t="str">
        <f t="shared" si="8"/>
        <v>B</v>
      </c>
      <c r="E78" s="337" t="s">
        <v>209</v>
      </c>
      <c r="F78" s="337" t="s">
        <v>214</v>
      </c>
      <c r="G78" s="263" t="s">
        <v>212</v>
      </c>
      <c r="H78" s="306"/>
      <c r="I78" s="294">
        <v>50000</v>
      </c>
      <c r="J78" s="305"/>
      <c r="K78" s="294">
        <v>50000</v>
      </c>
      <c r="L78" s="292"/>
      <c r="M78" s="292"/>
      <c r="N78" s="292"/>
      <c r="O78" s="457">
        <v>45000</v>
      </c>
      <c r="P78" s="305"/>
      <c r="Q78" s="294"/>
      <c r="R78" s="384"/>
    </row>
    <row r="79" spans="1:19" s="297" customFormat="1" ht="90" hidden="1" outlineLevel="2">
      <c r="A79" s="254">
        <f>MAX(A$75:$A78)+1</f>
        <v>5</v>
      </c>
      <c r="B79" s="255" t="s">
        <v>207</v>
      </c>
      <c r="C79" s="263" t="s">
        <v>208</v>
      </c>
      <c r="D79" s="293" t="str">
        <f t="shared" si="8"/>
        <v>B</v>
      </c>
      <c r="E79" s="337" t="s">
        <v>209</v>
      </c>
      <c r="F79" s="337" t="s">
        <v>215</v>
      </c>
      <c r="G79" s="263" t="s">
        <v>212</v>
      </c>
      <c r="H79" s="306"/>
      <c r="I79" s="294">
        <v>50000</v>
      </c>
      <c r="J79" s="305"/>
      <c r="K79" s="294">
        <v>50000</v>
      </c>
      <c r="L79" s="292"/>
      <c r="M79" s="292"/>
      <c r="N79" s="292"/>
      <c r="O79" s="457">
        <v>45000</v>
      </c>
      <c r="P79" s="305"/>
      <c r="Q79" s="294"/>
      <c r="R79" s="384"/>
    </row>
    <row r="80" spans="1:19" s="460" customFormat="1" ht="135" hidden="1" outlineLevel="2">
      <c r="A80" s="411">
        <f>MAX(A$75:$A79)+1</f>
        <v>6</v>
      </c>
      <c r="B80" s="412" t="s">
        <v>216</v>
      </c>
      <c r="C80" s="454" t="s">
        <v>208</v>
      </c>
      <c r="D80" s="453" t="str">
        <f t="shared" si="8"/>
        <v>B</v>
      </c>
      <c r="E80" s="452" t="s">
        <v>217</v>
      </c>
      <c r="F80" s="452"/>
      <c r="G80" s="454" t="s">
        <v>211</v>
      </c>
      <c r="H80" s="455"/>
      <c r="I80" s="456">
        <v>150000</v>
      </c>
      <c r="J80" s="456">
        <f>I80</f>
        <v>150000</v>
      </c>
      <c r="K80" s="458"/>
      <c r="L80" s="458"/>
      <c r="M80" s="458"/>
      <c r="N80" s="458"/>
      <c r="O80" s="457">
        <v>135000</v>
      </c>
      <c r="P80" s="456"/>
      <c r="Q80" s="294"/>
      <c r="R80" s="459"/>
    </row>
    <row r="81" spans="1:18" s="297" customFormat="1" ht="105" hidden="1" outlineLevel="2">
      <c r="A81" s="254">
        <f>MAX(A$75:$A80)+1</f>
        <v>7</v>
      </c>
      <c r="B81" s="255" t="s">
        <v>218</v>
      </c>
      <c r="C81" s="263" t="s">
        <v>208</v>
      </c>
      <c r="D81" s="293" t="str">
        <f t="shared" si="8"/>
        <v>B</v>
      </c>
      <c r="E81" s="337" t="s">
        <v>219</v>
      </c>
      <c r="F81" s="337"/>
      <c r="G81" s="263" t="s">
        <v>211</v>
      </c>
      <c r="H81" s="306"/>
      <c r="I81" s="294">
        <v>100000</v>
      </c>
      <c r="J81" s="294">
        <f>I81</f>
        <v>100000</v>
      </c>
      <c r="K81" s="292"/>
      <c r="L81" s="292"/>
      <c r="M81" s="292"/>
      <c r="N81" s="292"/>
      <c r="O81" s="457">
        <v>90000</v>
      </c>
      <c r="P81" s="294"/>
      <c r="Q81" s="294"/>
      <c r="R81" s="384"/>
    </row>
    <row r="82" spans="1:18" s="297" customFormat="1" ht="90" hidden="1" outlineLevel="2">
      <c r="A82" s="254">
        <f>MAX(A$75:$A81)+1</f>
        <v>8</v>
      </c>
      <c r="B82" s="255" t="s">
        <v>220</v>
      </c>
      <c r="C82" s="263" t="s">
        <v>208</v>
      </c>
      <c r="D82" s="293" t="str">
        <f t="shared" si="8"/>
        <v>B</v>
      </c>
      <c r="E82" s="337" t="s">
        <v>221</v>
      </c>
      <c r="F82" s="337"/>
      <c r="G82" s="263" t="s">
        <v>211</v>
      </c>
      <c r="H82" s="306"/>
      <c r="I82" s="294">
        <v>70000</v>
      </c>
      <c r="J82" s="294"/>
      <c r="K82" s="294">
        <v>70000</v>
      </c>
      <c r="L82" s="292"/>
      <c r="M82" s="292"/>
      <c r="N82" s="292"/>
      <c r="O82" s="457">
        <v>63000</v>
      </c>
      <c r="P82" s="294"/>
      <c r="Q82" s="294"/>
      <c r="R82" s="384"/>
    </row>
    <row r="83" spans="1:18" s="297" customFormat="1" ht="90" hidden="1" outlineLevel="2">
      <c r="A83" s="254">
        <f>MAX(A$75:$A82)+1</f>
        <v>9</v>
      </c>
      <c r="B83" s="255" t="s">
        <v>222</v>
      </c>
      <c r="C83" s="263" t="s">
        <v>208</v>
      </c>
      <c r="D83" s="293" t="str">
        <f t="shared" si="8"/>
        <v>B</v>
      </c>
      <c r="E83" s="337" t="s">
        <v>223</v>
      </c>
      <c r="F83" s="337"/>
      <c r="G83" s="263" t="s">
        <v>211</v>
      </c>
      <c r="H83" s="321"/>
      <c r="I83" s="294">
        <v>100000</v>
      </c>
      <c r="J83" s="294">
        <f>I83</f>
        <v>100000</v>
      </c>
      <c r="K83" s="292"/>
      <c r="L83" s="292"/>
      <c r="M83" s="292"/>
      <c r="N83" s="292"/>
      <c r="O83" s="457">
        <v>90000</v>
      </c>
      <c r="P83" s="294"/>
      <c r="Q83" s="292"/>
      <c r="R83" s="385"/>
    </row>
    <row r="84" spans="1:18" s="297" customFormat="1" ht="105" hidden="1" outlineLevel="2">
      <c r="A84" s="254">
        <f>MAX(A$75:$A83)+1</f>
        <v>10</v>
      </c>
      <c r="B84" s="255" t="s">
        <v>224</v>
      </c>
      <c r="C84" s="263" t="s">
        <v>208</v>
      </c>
      <c r="D84" s="293" t="str">
        <f t="shared" si="8"/>
        <v>B</v>
      </c>
      <c r="E84" s="337" t="s">
        <v>225</v>
      </c>
      <c r="F84" s="337"/>
      <c r="G84" s="263" t="s">
        <v>211</v>
      </c>
      <c r="H84" s="322"/>
      <c r="I84" s="294">
        <v>100000</v>
      </c>
      <c r="J84" s="294">
        <f>I84</f>
        <v>100000</v>
      </c>
      <c r="K84" s="294"/>
      <c r="L84" s="294"/>
      <c r="M84" s="294"/>
      <c r="N84" s="294"/>
      <c r="O84" s="457">
        <v>90000</v>
      </c>
      <c r="P84" s="294"/>
      <c r="Q84" s="292"/>
      <c r="R84" s="337"/>
    </row>
    <row r="85" spans="1:18" s="297" customFormat="1" ht="113.45" hidden="1" customHeight="1" outlineLevel="2">
      <c r="A85" s="254">
        <f>MAX(A$75:$A84)+1</f>
        <v>11</v>
      </c>
      <c r="B85" s="255" t="s">
        <v>226</v>
      </c>
      <c r="C85" s="263" t="s">
        <v>208</v>
      </c>
      <c r="D85" s="293" t="str">
        <f t="shared" si="8"/>
        <v>B</v>
      </c>
      <c r="E85" s="337" t="s">
        <v>227</v>
      </c>
      <c r="F85" s="337"/>
      <c r="G85" s="263" t="s">
        <v>211</v>
      </c>
      <c r="H85" s="322"/>
      <c r="I85" s="294">
        <v>70000</v>
      </c>
      <c r="J85" s="294"/>
      <c r="K85" s="294">
        <v>70000</v>
      </c>
      <c r="L85" s="294"/>
      <c r="M85" s="294"/>
      <c r="N85" s="294"/>
      <c r="O85" s="457">
        <v>63000</v>
      </c>
      <c r="P85" s="294"/>
      <c r="Q85" s="294"/>
      <c r="R85" s="386"/>
    </row>
    <row r="86" spans="1:18" s="297" customFormat="1" ht="75" hidden="1" outlineLevel="2">
      <c r="A86" s="254">
        <f>MAX(A$75:$A85)+1</f>
        <v>12</v>
      </c>
      <c r="B86" s="255" t="s">
        <v>228</v>
      </c>
      <c r="C86" s="263" t="s">
        <v>208</v>
      </c>
      <c r="D86" s="293" t="str">
        <f t="shared" si="8"/>
        <v>B</v>
      </c>
      <c r="E86" s="337" t="s">
        <v>229</v>
      </c>
      <c r="F86" s="337"/>
      <c r="G86" s="263" t="s">
        <v>211</v>
      </c>
      <c r="H86" s="322"/>
      <c r="I86" s="294">
        <v>50000</v>
      </c>
      <c r="J86" s="294"/>
      <c r="K86" s="294">
        <v>50000</v>
      </c>
      <c r="L86" s="294"/>
      <c r="M86" s="294"/>
      <c r="N86" s="294"/>
      <c r="O86" s="457">
        <v>45000</v>
      </c>
      <c r="P86" s="294"/>
      <c r="Q86" s="294"/>
      <c r="R86" s="386"/>
    </row>
    <row r="87" spans="1:18" s="297" customFormat="1" ht="90" hidden="1" outlineLevel="2">
      <c r="A87" s="254">
        <f>MAX(A$75:$A86)+1</f>
        <v>13</v>
      </c>
      <c r="B87" s="255" t="s">
        <v>230</v>
      </c>
      <c r="C87" s="263" t="s">
        <v>208</v>
      </c>
      <c r="D87" s="293" t="str">
        <f t="shared" si="8"/>
        <v>B</v>
      </c>
      <c r="E87" s="337" t="s">
        <v>231</v>
      </c>
      <c r="F87" s="337"/>
      <c r="G87" s="263" t="s">
        <v>211</v>
      </c>
      <c r="H87" s="322"/>
      <c r="I87" s="294">
        <v>70000</v>
      </c>
      <c r="J87" s="294"/>
      <c r="K87" s="294">
        <v>70000</v>
      </c>
      <c r="L87" s="294"/>
      <c r="M87" s="294"/>
      <c r="N87" s="294"/>
      <c r="O87" s="457">
        <v>63000</v>
      </c>
      <c r="P87" s="294"/>
      <c r="Q87" s="294"/>
      <c r="R87" s="386"/>
    </row>
    <row r="88" spans="1:18" s="297" customFormat="1" ht="75" hidden="1" outlineLevel="2">
      <c r="A88" s="254">
        <f>MAX(A$75:$A87)+1</f>
        <v>14</v>
      </c>
      <c r="B88" s="255" t="s">
        <v>232</v>
      </c>
      <c r="C88" s="263" t="s">
        <v>208</v>
      </c>
      <c r="D88" s="293" t="str">
        <f t="shared" si="8"/>
        <v>C</v>
      </c>
      <c r="E88" s="337" t="s">
        <v>233</v>
      </c>
      <c r="F88" s="337"/>
      <c r="G88" s="263" t="s">
        <v>234</v>
      </c>
      <c r="H88" s="322"/>
      <c r="I88" s="294">
        <v>30000</v>
      </c>
      <c r="J88" s="294"/>
      <c r="K88" s="294">
        <v>30000</v>
      </c>
      <c r="L88" s="294"/>
      <c r="M88" s="294"/>
      <c r="N88" s="294"/>
      <c r="O88" s="457">
        <v>27000</v>
      </c>
      <c r="P88" s="294"/>
      <c r="Q88" s="294"/>
      <c r="R88" s="386"/>
    </row>
    <row r="89" spans="1:18" s="297" customFormat="1" ht="105" hidden="1" outlineLevel="2">
      <c r="A89" s="254">
        <f>MAX(A$75:$A88)+1</f>
        <v>15</v>
      </c>
      <c r="B89" s="255" t="s">
        <v>235</v>
      </c>
      <c r="C89" s="263" t="s">
        <v>208</v>
      </c>
      <c r="D89" s="293" t="str">
        <f t="shared" si="8"/>
        <v>B</v>
      </c>
      <c r="E89" s="337" t="s">
        <v>236</v>
      </c>
      <c r="F89" s="337"/>
      <c r="G89" s="263" t="s">
        <v>234</v>
      </c>
      <c r="H89" s="322"/>
      <c r="I89" s="294">
        <v>50000</v>
      </c>
      <c r="J89" s="294"/>
      <c r="K89" s="294">
        <v>50000</v>
      </c>
      <c r="L89" s="294"/>
      <c r="M89" s="294"/>
      <c r="N89" s="294"/>
      <c r="O89" s="457">
        <v>45000</v>
      </c>
      <c r="P89" s="294"/>
      <c r="Q89" s="294"/>
      <c r="R89" s="386"/>
    </row>
    <row r="90" spans="1:18" s="460" customFormat="1" ht="105" hidden="1" outlineLevel="2">
      <c r="A90" s="411">
        <f>MAX(A$75:$A89)+1</f>
        <v>16</v>
      </c>
      <c r="B90" s="412" t="s">
        <v>237</v>
      </c>
      <c r="C90" s="454" t="s">
        <v>208</v>
      </c>
      <c r="D90" s="453" t="str">
        <f t="shared" si="8"/>
        <v>B</v>
      </c>
      <c r="E90" s="452" t="s">
        <v>238</v>
      </c>
      <c r="F90" s="452"/>
      <c r="G90" s="454" t="s">
        <v>234</v>
      </c>
      <c r="H90" s="462"/>
      <c r="I90" s="456">
        <v>70000</v>
      </c>
      <c r="J90" s="456"/>
      <c r="K90" s="456">
        <v>70000</v>
      </c>
      <c r="L90" s="456"/>
      <c r="M90" s="456"/>
      <c r="N90" s="456"/>
      <c r="O90" s="457">
        <v>63000</v>
      </c>
      <c r="P90" s="456"/>
      <c r="Q90" s="456"/>
      <c r="R90" s="463"/>
    </row>
    <row r="91" spans="1:18" s="297" customFormat="1" ht="45" hidden="1" outlineLevel="2">
      <c r="A91" s="254">
        <f>MAX(A$75:$A90)+1</f>
        <v>17</v>
      </c>
      <c r="B91" s="255" t="s">
        <v>239</v>
      </c>
      <c r="C91" s="263" t="s">
        <v>208</v>
      </c>
      <c r="D91" s="293" t="str">
        <f t="shared" si="8"/>
        <v>B</v>
      </c>
      <c r="E91" s="338" t="s">
        <v>238</v>
      </c>
      <c r="F91" s="337"/>
      <c r="G91" s="263" t="s">
        <v>240</v>
      </c>
      <c r="H91" s="322"/>
      <c r="I91" s="294">
        <v>200000</v>
      </c>
      <c r="J91" s="294"/>
      <c r="K91" s="294">
        <f>I91</f>
        <v>200000</v>
      </c>
      <c r="L91" s="294"/>
      <c r="M91" s="294"/>
      <c r="N91" s="294"/>
      <c r="O91" s="457">
        <v>140000</v>
      </c>
      <c r="P91" s="294"/>
      <c r="Q91" s="294"/>
      <c r="R91" s="386"/>
    </row>
    <row r="92" spans="1:18" s="467" customFormat="1" ht="21" hidden="1" customHeight="1" outlineLevel="1" collapsed="1">
      <c r="A92" s="300"/>
      <c r="B92" s="301" t="s">
        <v>480</v>
      </c>
      <c r="C92" s="557"/>
      <c r="D92" s="302"/>
      <c r="E92" s="336"/>
      <c r="F92" s="336"/>
      <c r="G92" s="393"/>
      <c r="H92" s="302"/>
      <c r="I92" s="465">
        <f>SUM(I93:I118)</f>
        <v>554000</v>
      </c>
      <c r="J92" s="465">
        <f t="shared" ref="J92:Q92" si="9">SUM(J93:J118)</f>
        <v>0</v>
      </c>
      <c r="K92" s="465">
        <f t="shared" si="9"/>
        <v>554000</v>
      </c>
      <c r="L92" s="465">
        <f t="shared" si="9"/>
        <v>0</v>
      </c>
      <c r="M92" s="465">
        <f t="shared" si="9"/>
        <v>0</v>
      </c>
      <c r="N92" s="465">
        <f t="shared" si="9"/>
        <v>0</v>
      </c>
      <c r="O92" s="465">
        <f t="shared" si="9"/>
        <v>498600</v>
      </c>
      <c r="P92" s="465">
        <f t="shared" si="9"/>
        <v>0</v>
      </c>
      <c r="Q92" s="465">
        <f t="shared" si="9"/>
        <v>0</v>
      </c>
      <c r="R92" s="466"/>
    </row>
    <row r="93" spans="1:18" s="297" customFormat="1" ht="63.75" hidden="1" outlineLevel="2">
      <c r="A93" s="254">
        <f>MAX(A$75:$A92)+1</f>
        <v>18</v>
      </c>
      <c r="B93" s="307" t="s">
        <v>241</v>
      </c>
      <c r="C93" s="601" t="s">
        <v>883</v>
      </c>
      <c r="D93" s="293" t="str">
        <f t="shared" si="8"/>
        <v>C</v>
      </c>
      <c r="E93" s="338" t="s">
        <v>556</v>
      </c>
      <c r="F93" s="337" t="s">
        <v>242</v>
      </c>
      <c r="G93" s="263" t="s">
        <v>212</v>
      </c>
      <c r="H93" s="293"/>
      <c r="I93" s="294">
        <v>25000</v>
      </c>
      <c r="J93" s="295"/>
      <c r="K93" s="294">
        <f t="shared" ref="K93:K116" si="10">I93</f>
        <v>25000</v>
      </c>
      <c r="L93" s="295"/>
      <c r="M93" s="295"/>
      <c r="N93" s="295"/>
      <c r="O93" s="294">
        <v>22500</v>
      </c>
      <c r="P93" s="295"/>
      <c r="Q93" s="294"/>
      <c r="R93" s="386"/>
    </row>
    <row r="94" spans="1:18" s="297" customFormat="1" ht="75" hidden="1" outlineLevel="2">
      <c r="A94" s="254">
        <f>MAX(A$75:$A93)+1</f>
        <v>19</v>
      </c>
      <c r="B94" s="279" t="s">
        <v>243</v>
      </c>
      <c r="C94" s="263" t="s">
        <v>208</v>
      </c>
      <c r="D94" s="293" t="str">
        <f t="shared" si="8"/>
        <v>C</v>
      </c>
      <c r="E94" s="338" t="s">
        <v>227</v>
      </c>
      <c r="F94" s="337" t="s">
        <v>242</v>
      </c>
      <c r="G94" s="263" t="s">
        <v>212</v>
      </c>
      <c r="H94" s="293"/>
      <c r="I94" s="294">
        <v>25000</v>
      </c>
      <c r="J94" s="295"/>
      <c r="K94" s="294">
        <f t="shared" si="10"/>
        <v>25000</v>
      </c>
      <c r="L94" s="295"/>
      <c r="M94" s="295"/>
      <c r="N94" s="295"/>
      <c r="O94" s="294">
        <v>22500</v>
      </c>
      <c r="P94" s="295"/>
      <c r="Q94" s="294"/>
      <c r="R94" s="386"/>
    </row>
    <row r="95" spans="1:18" s="297" customFormat="1" ht="45" hidden="1" outlineLevel="2">
      <c r="A95" s="254">
        <f>MAX(A$75:$A94)+1</f>
        <v>20</v>
      </c>
      <c r="B95" s="307" t="s">
        <v>244</v>
      </c>
      <c r="C95" s="263" t="s">
        <v>208</v>
      </c>
      <c r="D95" s="293" t="str">
        <f t="shared" si="8"/>
        <v>C</v>
      </c>
      <c r="E95" s="338" t="s">
        <v>238</v>
      </c>
      <c r="F95" s="337" t="s">
        <v>242</v>
      </c>
      <c r="G95" s="263" t="s">
        <v>212</v>
      </c>
      <c r="H95" s="293"/>
      <c r="I95" s="294">
        <v>14000</v>
      </c>
      <c r="J95" s="295"/>
      <c r="K95" s="294">
        <f t="shared" si="10"/>
        <v>14000</v>
      </c>
      <c r="L95" s="295"/>
      <c r="M95" s="295"/>
      <c r="N95" s="295"/>
      <c r="O95" s="294">
        <v>12600</v>
      </c>
      <c r="P95" s="295"/>
      <c r="Q95" s="294"/>
      <c r="R95" s="386"/>
    </row>
    <row r="96" spans="1:18" s="297" customFormat="1" ht="45" hidden="1" outlineLevel="2">
      <c r="A96" s="254">
        <f>MAX(A$75:$A95)+1</f>
        <v>21</v>
      </c>
      <c r="B96" s="279" t="s">
        <v>245</v>
      </c>
      <c r="C96" s="263" t="s">
        <v>208</v>
      </c>
      <c r="D96" s="293" t="str">
        <f t="shared" si="8"/>
        <v>C</v>
      </c>
      <c r="E96" s="337" t="s">
        <v>231</v>
      </c>
      <c r="F96" s="337" t="s">
        <v>242</v>
      </c>
      <c r="G96" s="263" t="s">
        <v>212</v>
      </c>
      <c r="H96" s="293"/>
      <c r="I96" s="294">
        <v>20000</v>
      </c>
      <c r="J96" s="295"/>
      <c r="K96" s="294">
        <f t="shared" si="10"/>
        <v>20000</v>
      </c>
      <c r="L96" s="295"/>
      <c r="M96" s="295"/>
      <c r="N96" s="295"/>
      <c r="O96" s="294">
        <v>18000</v>
      </c>
      <c r="P96" s="295"/>
      <c r="Q96" s="294"/>
      <c r="R96" s="386"/>
    </row>
    <row r="97" spans="1:18" s="297" customFormat="1" ht="45" hidden="1" outlineLevel="2">
      <c r="A97" s="254">
        <f>MAX(A$75:$A96)+1</f>
        <v>22</v>
      </c>
      <c r="B97" s="307" t="s">
        <v>246</v>
      </c>
      <c r="C97" s="263" t="s">
        <v>208</v>
      </c>
      <c r="D97" s="293" t="str">
        <f t="shared" si="8"/>
        <v>C</v>
      </c>
      <c r="E97" s="337" t="s">
        <v>247</v>
      </c>
      <c r="F97" s="337" t="s">
        <v>242</v>
      </c>
      <c r="G97" s="263" t="s">
        <v>212</v>
      </c>
      <c r="H97" s="293"/>
      <c r="I97" s="294">
        <v>14500</v>
      </c>
      <c r="J97" s="295"/>
      <c r="K97" s="294">
        <f t="shared" si="10"/>
        <v>14500</v>
      </c>
      <c r="L97" s="295"/>
      <c r="M97" s="295"/>
      <c r="N97" s="295"/>
      <c r="O97" s="294">
        <v>13050</v>
      </c>
      <c r="P97" s="295"/>
      <c r="Q97" s="294"/>
      <c r="R97" s="386"/>
    </row>
    <row r="98" spans="1:18" s="297" customFormat="1" ht="60" hidden="1" outlineLevel="2">
      <c r="A98" s="254">
        <f>MAX(A$75:$A97)+1</f>
        <v>23</v>
      </c>
      <c r="B98" s="279" t="s">
        <v>248</v>
      </c>
      <c r="C98" s="263" t="s">
        <v>208</v>
      </c>
      <c r="D98" s="293" t="str">
        <f t="shared" si="8"/>
        <v>C</v>
      </c>
      <c r="E98" s="337" t="s">
        <v>249</v>
      </c>
      <c r="F98" s="337" t="s">
        <v>242</v>
      </c>
      <c r="G98" s="263" t="s">
        <v>212</v>
      </c>
      <c r="H98" s="293"/>
      <c r="I98" s="294">
        <v>25000</v>
      </c>
      <c r="J98" s="295"/>
      <c r="K98" s="294">
        <f t="shared" si="10"/>
        <v>25000</v>
      </c>
      <c r="L98" s="295"/>
      <c r="M98" s="295"/>
      <c r="N98" s="295"/>
      <c r="O98" s="294">
        <v>22500</v>
      </c>
      <c r="P98" s="295"/>
      <c r="Q98" s="294"/>
      <c r="R98" s="386"/>
    </row>
    <row r="99" spans="1:18" s="297" customFormat="1" ht="75" hidden="1" outlineLevel="2">
      <c r="A99" s="254">
        <f>MAX(A$75:$A98)+1</f>
        <v>24</v>
      </c>
      <c r="B99" s="307" t="s">
        <v>250</v>
      </c>
      <c r="C99" s="263" t="s">
        <v>208</v>
      </c>
      <c r="D99" s="293" t="str">
        <f t="shared" si="8"/>
        <v>C</v>
      </c>
      <c r="E99" s="338" t="s">
        <v>251</v>
      </c>
      <c r="F99" s="337" t="s">
        <v>242</v>
      </c>
      <c r="G99" s="263" t="s">
        <v>212</v>
      </c>
      <c r="H99" s="293"/>
      <c r="I99" s="294">
        <v>28000</v>
      </c>
      <c r="J99" s="295"/>
      <c r="K99" s="294">
        <f t="shared" si="10"/>
        <v>28000</v>
      </c>
      <c r="L99" s="295"/>
      <c r="M99" s="295"/>
      <c r="N99" s="295"/>
      <c r="O99" s="294">
        <v>25200</v>
      </c>
      <c r="P99" s="295"/>
      <c r="Q99" s="294"/>
      <c r="R99" s="386"/>
    </row>
    <row r="100" spans="1:18" s="297" customFormat="1" ht="38.25" hidden="1" outlineLevel="2">
      <c r="A100" s="254">
        <f>MAX(A$75:$A99)+1</f>
        <v>25</v>
      </c>
      <c r="B100" s="307" t="s">
        <v>252</v>
      </c>
      <c r="C100" s="263" t="s">
        <v>208</v>
      </c>
      <c r="D100" s="293" t="str">
        <f t="shared" si="8"/>
        <v>C</v>
      </c>
      <c r="E100" s="338" t="s">
        <v>253</v>
      </c>
      <c r="F100" s="337" t="s">
        <v>242</v>
      </c>
      <c r="G100" s="263" t="s">
        <v>212</v>
      </c>
      <c r="H100" s="293"/>
      <c r="I100" s="294">
        <v>14000</v>
      </c>
      <c r="J100" s="295"/>
      <c r="K100" s="294">
        <f t="shared" si="10"/>
        <v>14000</v>
      </c>
      <c r="L100" s="295"/>
      <c r="M100" s="295"/>
      <c r="N100" s="295"/>
      <c r="O100" s="294">
        <v>12600</v>
      </c>
      <c r="P100" s="295"/>
      <c r="Q100" s="294"/>
      <c r="R100" s="386"/>
    </row>
    <row r="101" spans="1:18" s="297" customFormat="1" ht="60" hidden="1" outlineLevel="2">
      <c r="A101" s="254">
        <f>MAX(A$75:$A100)+1</f>
        <v>26</v>
      </c>
      <c r="B101" s="307" t="s">
        <v>254</v>
      </c>
      <c r="C101" s="263" t="s">
        <v>208</v>
      </c>
      <c r="D101" s="293" t="str">
        <f t="shared" si="8"/>
        <v>C</v>
      </c>
      <c r="E101" s="338" t="s">
        <v>255</v>
      </c>
      <c r="F101" s="337" t="s">
        <v>242</v>
      </c>
      <c r="G101" s="263" t="s">
        <v>212</v>
      </c>
      <c r="H101" s="293"/>
      <c r="I101" s="294">
        <v>18000</v>
      </c>
      <c r="J101" s="295"/>
      <c r="K101" s="294">
        <f t="shared" si="10"/>
        <v>18000</v>
      </c>
      <c r="L101" s="295"/>
      <c r="M101" s="295"/>
      <c r="N101" s="295"/>
      <c r="O101" s="294">
        <v>16200</v>
      </c>
      <c r="P101" s="295"/>
      <c r="Q101" s="294"/>
      <c r="R101" s="386"/>
    </row>
    <row r="102" spans="1:18" s="297" customFormat="1" ht="60" hidden="1" outlineLevel="2">
      <c r="A102" s="254">
        <f>MAX(A$75:$A101)+1</f>
        <v>27</v>
      </c>
      <c r="B102" s="307" t="s">
        <v>256</v>
      </c>
      <c r="C102" s="263" t="s">
        <v>208</v>
      </c>
      <c r="D102" s="293" t="str">
        <f t="shared" si="8"/>
        <v>C</v>
      </c>
      <c r="E102" s="338" t="s">
        <v>238</v>
      </c>
      <c r="F102" s="337" t="s">
        <v>242</v>
      </c>
      <c r="G102" s="263" t="s">
        <v>212</v>
      </c>
      <c r="H102" s="293"/>
      <c r="I102" s="294">
        <v>20000</v>
      </c>
      <c r="J102" s="295"/>
      <c r="K102" s="294">
        <f t="shared" si="10"/>
        <v>20000</v>
      </c>
      <c r="L102" s="295"/>
      <c r="M102" s="295"/>
      <c r="N102" s="295"/>
      <c r="O102" s="294">
        <v>18000</v>
      </c>
      <c r="P102" s="295"/>
      <c r="Q102" s="294"/>
      <c r="R102" s="386"/>
    </row>
    <row r="103" spans="1:18" s="297" customFormat="1" ht="45" hidden="1" outlineLevel="2">
      <c r="A103" s="254">
        <f>MAX(A$75:$A102)+1</f>
        <v>28</v>
      </c>
      <c r="B103" s="307" t="s">
        <v>257</v>
      </c>
      <c r="C103" s="263" t="s">
        <v>208</v>
      </c>
      <c r="D103" s="293" t="str">
        <f t="shared" si="8"/>
        <v>C</v>
      </c>
      <c r="E103" s="338" t="s">
        <v>238</v>
      </c>
      <c r="F103" s="337" t="s">
        <v>242</v>
      </c>
      <c r="G103" s="263" t="s">
        <v>212</v>
      </c>
      <c r="H103" s="293"/>
      <c r="I103" s="294">
        <v>20000</v>
      </c>
      <c r="J103" s="295"/>
      <c r="K103" s="294">
        <f t="shared" si="10"/>
        <v>20000</v>
      </c>
      <c r="L103" s="295"/>
      <c r="M103" s="295"/>
      <c r="N103" s="295"/>
      <c r="O103" s="294">
        <v>18000</v>
      </c>
      <c r="P103" s="295"/>
      <c r="Q103" s="294"/>
      <c r="R103" s="386"/>
    </row>
    <row r="104" spans="1:18" s="297" customFormat="1" ht="45" hidden="1" outlineLevel="2">
      <c r="A104" s="254">
        <f>MAX(A$75:$A103)+1</f>
        <v>29</v>
      </c>
      <c r="B104" s="307" t="s">
        <v>258</v>
      </c>
      <c r="C104" s="263" t="s">
        <v>208</v>
      </c>
      <c r="D104" s="293" t="str">
        <f t="shared" si="8"/>
        <v>C</v>
      </c>
      <c r="E104" s="338" t="s">
        <v>238</v>
      </c>
      <c r="F104" s="337" t="s">
        <v>242</v>
      </c>
      <c r="G104" s="263" t="s">
        <v>212</v>
      </c>
      <c r="H104" s="293"/>
      <c r="I104" s="294">
        <v>20000</v>
      </c>
      <c r="J104" s="295"/>
      <c r="K104" s="294">
        <f t="shared" si="10"/>
        <v>20000</v>
      </c>
      <c r="L104" s="295"/>
      <c r="M104" s="295"/>
      <c r="N104" s="295"/>
      <c r="O104" s="294">
        <v>18000</v>
      </c>
      <c r="P104" s="295"/>
      <c r="Q104" s="294"/>
      <c r="R104" s="386"/>
    </row>
    <row r="105" spans="1:18" s="297" customFormat="1" ht="60" hidden="1" outlineLevel="2">
      <c r="A105" s="254">
        <f>MAX(A$75:$A104)+1</f>
        <v>30</v>
      </c>
      <c r="B105" s="279" t="s">
        <v>259</v>
      </c>
      <c r="C105" s="263" t="s">
        <v>208</v>
      </c>
      <c r="D105" s="293" t="str">
        <f t="shared" si="8"/>
        <v>C</v>
      </c>
      <c r="E105" s="338" t="s">
        <v>231</v>
      </c>
      <c r="F105" s="337" t="s">
        <v>213</v>
      </c>
      <c r="G105" s="263" t="s">
        <v>212</v>
      </c>
      <c r="H105" s="293"/>
      <c r="I105" s="294">
        <v>27000</v>
      </c>
      <c r="J105" s="295"/>
      <c r="K105" s="294">
        <f t="shared" si="10"/>
        <v>27000</v>
      </c>
      <c r="L105" s="295"/>
      <c r="M105" s="295"/>
      <c r="N105" s="295"/>
      <c r="O105" s="294">
        <v>24300</v>
      </c>
      <c r="P105" s="295"/>
      <c r="Q105" s="294"/>
      <c r="R105" s="386"/>
    </row>
    <row r="106" spans="1:18" s="297" customFormat="1" ht="60" hidden="1" outlineLevel="2">
      <c r="A106" s="254">
        <f>MAX(A$75:$A105)+1</f>
        <v>31</v>
      </c>
      <c r="B106" s="307" t="s">
        <v>260</v>
      </c>
      <c r="C106" s="558" t="s">
        <v>208</v>
      </c>
      <c r="D106" s="293" t="str">
        <f t="shared" si="8"/>
        <v>C</v>
      </c>
      <c r="E106" s="340" t="s">
        <v>249</v>
      </c>
      <c r="F106" s="340" t="s">
        <v>242</v>
      </c>
      <c r="G106" s="263" t="s">
        <v>212</v>
      </c>
      <c r="H106" s="276"/>
      <c r="I106" s="308">
        <v>14500</v>
      </c>
      <c r="J106" s="309"/>
      <c r="K106" s="294">
        <f t="shared" si="10"/>
        <v>14500</v>
      </c>
      <c r="L106" s="309"/>
      <c r="M106" s="309"/>
      <c r="N106" s="309"/>
      <c r="O106" s="294">
        <v>13050</v>
      </c>
      <c r="P106" s="295"/>
      <c r="Q106" s="294"/>
      <c r="R106" s="386"/>
    </row>
    <row r="107" spans="1:18" s="297" customFormat="1" ht="60" hidden="1" outlineLevel="2">
      <c r="A107" s="254">
        <f>MAX(A$75:$A106)+1</f>
        <v>32</v>
      </c>
      <c r="B107" s="307" t="s">
        <v>261</v>
      </c>
      <c r="C107" s="263" t="s">
        <v>208</v>
      </c>
      <c r="D107" s="293" t="str">
        <f t="shared" si="8"/>
        <v>C</v>
      </c>
      <c r="E107" s="338" t="s">
        <v>249</v>
      </c>
      <c r="F107" s="337" t="s">
        <v>242</v>
      </c>
      <c r="G107" s="263" t="s">
        <v>212</v>
      </c>
      <c r="H107" s="293"/>
      <c r="I107" s="294">
        <v>28000</v>
      </c>
      <c r="J107" s="295"/>
      <c r="K107" s="294">
        <f t="shared" si="10"/>
        <v>28000</v>
      </c>
      <c r="L107" s="295"/>
      <c r="M107" s="295"/>
      <c r="N107" s="295"/>
      <c r="O107" s="294">
        <v>25200</v>
      </c>
      <c r="P107" s="295"/>
      <c r="Q107" s="294"/>
      <c r="R107" s="386"/>
    </row>
    <row r="108" spans="1:18" s="297" customFormat="1" ht="75" hidden="1" outlineLevel="2">
      <c r="A108" s="254">
        <f>MAX(A$75:$A107)+1</f>
        <v>33</v>
      </c>
      <c r="B108" s="307" t="s">
        <v>262</v>
      </c>
      <c r="C108" s="263" t="s">
        <v>208</v>
      </c>
      <c r="D108" s="293" t="str">
        <f t="shared" si="8"/>
        <v>C</v>
      </c>
      <c r="E108" s="338" t="s">
        <v>238</v>
      </c>
      <c r="F108" s="337" t="s">
        <v>242</v>
      </c>
      <c r="G108" s="263" t="s">
        <v>212</v>
      </c>
      <c r="H108" s="293"/>
      <c r="I108" s="294">
        <v>20000</v>
      </c>
      <c r="J108" s="295"/>
      <c r="K108" s="294">
        <f t="shared" si="10"/>
        <v>20000</v>
      </c>
      <c r="L108" s="295"/>
      <c r="M108" s="295"/>
      <c r="N108" s="295"/>
      <c r="O108" s="294">
        <v>18000</v>
      </c>
      <c r="P108" s="295"/>
      <c r="Q108" s="294"/>
      <c r="R108" s="386"/>
    </row>
    <row r="109" spans="1:18" s="297" customFormat="1" ht="45" hidden="1" outlineLevel="2">
      <c r="A109" s="254">
        <f>MAX(A$75:$A108)+1</f>
        <v>34</v>
      </c>
      <c r="B109" s="307" t="s">
        <v>263</v>
      </c>
      <c r="C109" s="263" t="s">
        <v>208</v>
      </c>
      <c r="D109" s="293" t="str">
        <f t="shared" si="8"/>
        <v>C</v>
      </c>
      <c r="E109" s="338" t="s">
        <v>238</v>
      </c>
      <c r="F109" s="337" t="s">
        <v>242</v>
      </c>
      <c r="G109" s="263" t="s">
        <v>212</v>
      </c>
      <c r="H109" s="293"/>
      <c r="I109" s="294">
        <v>14000</v>
      </c>
      <c r="J109" s="295"/>
      <c r="K109" s="294">
        <f t="shared" si="10"/>
        <v>14000</v>
      </c>
      <c r="L109" s="295"/>
      <c r="M109" s="295"/>
      <c r="N109" s="295"/>
      <c r="O109" s="294">
        <v>12600</v>
      </c>
      <c r="P109" s="295"/>
      <c r="Q109" s="294"/>
      <c r="R109" s="386"/>
    </row>
    <row r="110" spans="1:18" s="297" customFormat="1" ht="38.25" hidden="1" outlineLevel="2">
      <c r="A110" s="254">
        <f>MAX(A$75:$A109)+1</f>
        <v>35</v>
      </c>
      <c r="B110" s="307" t="s">
        <v>264</v>
      </c>
      <c r="C110" s="263" t="s">
        <v>208</v>
      </c>
      <c r="D110" s="293" t="str">
        <f t="shared" si="8"/>
        <v>C</v>
      </c>
      <c r="E110" s="338" t="s">
        <v>238</v>
      </c>
      <c r="F110" s="337" t="s">
        <v>242</v>
      </c>
      <c r="G110" s="263" t="s">
        <v>212</v>
      </c>
      <c r="H110" s="293"/>
      <c r="I110" s="294">
        <v>13000</v>
      </c>
      <c r="J110" s="295"/>
      <c r="K110" s="294">
        <f t="shared" si="10"/>
        <v>13000</v>
      </c>
      <c r="L110" s="295"/>
      <c r="M110" s="295"/>
      <c r="N110" s="295"/>
      <c r="O110" s="294">
        <v>11700</v>
      </c>
      <c r="P110" s="295"/>
      <c r="Q110" s="294"/>
      <c r="R110" s="386"/>
    </row>
    <row r="111" spans="1:18" s="297" customFormat="1" ht="75.75" hidden="1" customHeight="1" outlineLevel="2">
      <c r="A111" s="254">
        <f>MAX(A$75:$A110)+1</f>
        <v>36</v>
      </c>
      <c r="B111" s="307" t="s">
        <v>265</v>
      </c>
      <c r="C111" s="263" t="s">
        <v>208</v>
      </c>
      <c r="D111" s="293" t="str">
        <f t="shared" si="8"/>
        <v>C</v>
      </c>
      <c r="E111" s="338" t="s">
        <v>251</v>
      </c>
      <c r="F111" s="337" t="s">
        <v>242</v>
      </c>
      <c r="G111" s="263" t="s">
        <v>212</v>
      </c>
      <c r="H111" s="293"/>
      <c r="I111" s="294">
        <v>28000</v>
      </c>
      <c r="J111" s="295"/>
      <c r="K111" s="294">
        <f t="shared" si="10"/>
        <v>28000</v>
      </c>
      <c r="L111" s="295"/>
      <c r="M111" s="295"/>
      <c r="N111" s="295"/>
      <c r="O111" s="294">
        <v>25200</v>
      </c>
      <c r="P111" s="295"/>
      <c r="Q111" s="294"/>
      <c r="R111" s="386"/>
    </row>
    <row r="112" spans="1:18" s="297" customFormat="1" ht="45" hidden="1" outlineLevel="2">
      <c r="A112" s="254">
        <f>MAX(A$75:$A111)+1</f>
        <v>37</v>
      </c>
      <c r="B112" s="307" t="s">
        <v>266</v>
      </c>
      <c r="C112" s="263" t="s">
        <v>208</v>
      </c>
      <c r="D112" s="293" t="str">
        <f t="shared" si="8"/>
        <v>C</v>
      </c>
      <c r="E112" s="338" t="s">
        <v>253</v>
      </c>
      <c r="F112" s="337" t="s">
        <v>242</v>
      </c>
      <c r="G112" s="263" t="s">
        <v>212</v>
      </c>
      <c r="H112" s="293"/>
      <c r="I112" s="294">
        <v>14500</v>
      </c>
      <c r="J112" s="295"/>
      <c r="K112" s="294">
        <f t="shared" si="10"/>
        <v>14500</v>
      </c>
      <c r="L112" s="295"/>
      <c r="M112" s="295"/>
      <c r="N112" s="295"/>
      <c r="O112" s="294">
        <v>13050</v>
      </c>
      <c r="P112" s="295"/>
      <c r="Q112" s="294"/>
      <c r="R112" s="386"/>
    </row>
    <row r="113" spans="1:19" s="297" customFormat="1" ht="75" hidden="1" outlineLevel="2">
      <c r="A113" s="254">
        <f>MAX(A$75:$A112)+1</f>
        <v>38</v>
      </c>
      <c r="B113" s="307" t="s">
        <v>267</v>
      </c>
      <c r="C113" s="263" t="s">
        <v>208</v>
      </c>
      <c r="D113" s="293" t="str">
        <f t="shared" si="8"/>
        <v>C</v>
      </c>
      <c r="E113" s="340" t="s">
        <v>247</v>
      </c>
      <c r="F113" s="337" t="s">
        <v>242</v>
      </c>
      <c r="G113" s="263" t="s">
        <v>234</v>
      </c>
      <c r="H113" s="293"/>
      <c r="I113" s="294">
        <v>25000</v>
      </c>
      <c r="J113" s="295"/>
      <c r="K113" s="294">
        <f t="shared" si="10"/>
        <v>25000</v>
      </c>
      <c r="L113" s="295"/>
      <c r="M113" s="295"/>
      <c r="N113" s="295"/>
      <c r="O113" s="294">
        <v>22500</v>
      </c>
      <c r="P113" s="295"/>
      <c r="Q113" s="294"/>
      <c r="R113" s="386"/>
    </row>
    <row r="114" spans="1:19" s="297" customFormat="1" ht="60" hidden="1" outlineLevel="2">
      <c r="A114" s="254">
        <f>MAX(A$75:$A113)+1</f>
        <v>39</v>
      </c>
      <c r="B114" s="307" t="s">
        <v>268</v>
      </c>
      <c r="C114" s="263" t="s">
        <v>208</v>
      </c>
      <c r="D114" s="293" t="str">
        <f t="shared" si="8"/>
        <v>C</v>
      </c>
      <c r="E114" s="340" t="s">
        <v>231</v>
      </c>
      <c r="F114" s="337" t="s">
        <v>242</v>
      </c>
      <c r="G114" s="263" t="s">
        <v>234</v>
      </c>
      <c r="H114" s="293"/>
      <c r="I114" s="294">
        <v>14000</v>
      </c>
      <c r="J114" s="295"/>
      <c r="K114" s="294">
        <f t="shared" si="10"/>
        <v>14000</v>
      </c>
      <c r="L114" s="295"/>
      <c r="M114" s="295"/>
      <c r="N114" s="295"/>
      <c r="O114" s="294">
        <v>12600</v>
      </c>
      <c r="P114" s="295"/>
      <c r="Q114" s="294"/>
      <c r="R114" s="386"/>
    </row>
    <row r="115" spans="1:19" s="297" customFormat="1" ht="45" hidden="1" outlineLevel="2">
      <c r="A115" s="254">
        <f>MAX(A$75:$A114)+1</f>
        <v>40</v>
      </c>
      <c r="B115" s="307" t="s">
        <v>269</v>
      </c>
      <c r="C115" s="263" t="s">
        <v>208</v>
      </c>
      <c r="D115" s="293" t="str">
        <f t="shared" si="8"/>
        <v>C</v>
      </c>
      <c r="E115" s="340" t="s">
        <v>270</v>
      </c>
      <c r="F115" s="337" t="s">
        <v>242</v>
      </c>
      <c r="G115" s="263" t="s">
        <v>234</v>
      </c>
      <c r="H115" s="293"/>
      <c r="I115" s="294">
        <v>14000</v>
      </c>
      <c r="J115" s="295"/>
      <c r="K115" s="294">
        <f t="shared" si="10"/>
        <v>14000</v>
      </c>
      <c r="L115" s="295"/>
      <c r="M115" s="295"/>
      <c r="N115" s="295"/>
      <c r="O115" s="294">
        <v>12600</v>
      </c>
      <c r="P115" s="295"/>
      <c r="Q115" s="294"/>
      <c r="R115" s="386"/>
    </row>
    <row r="116" spans="1:19" s="297" customFormat="1" ht="60" hidden="1" outlineLevel="2">
      <c r="A116" s="254">
        <f>MAX(A$75:$A115)+1</f>
        <v>41</v>
      </c>
      <c r="B116" s="307" t="s">
        <v>271</v>
      </c>
      <c r="C116" s="263" t="s">
        <v>208</v>
      </c>
      <c r="D116" s="293" t="str">
        <f t="shared" si="8"/>
        <v>C</v>
      </c>
      <c r="E116" s="340" t="s">
        <v>272</v>
      </c>
      <c r="F116" s="337" t="s">
        <v>242</v>
      </c>
      <c r="G116" s="263" t="s">
        <v>234</v>
      </c>
      <c r="H116" s="293"/>
      <c r="I116" s="294">
        <v>14500</v>
      </c>
      <c r="J116" s="295"/>
      <c r="K116" s="294">
        <f t="shared" si="10"/>
        <v>14500</v>
      </c>
      <c r="L116" s="295"/>
      <c r="M116" s="295"/>
      <c r="N116" s="295"/>
      <c r="O116" s="294">
        <v>13050</v>
      </c>
      <c r="P116" s="295"/>
      <c r="Q116" s="294"/>
      <c r="R116" s="386"/>
    </row>
    <row r="117" spans="1:19" s="297" customFormat="1" ht="38.25" hidden="1" outlineLevel="2">
      <c r="A117" s="254">
        <f>MAX(A$75:$A116)+1</f>
        <v>42</v>
      </c>
      <c r="B117" s="307" t="s">
        <v>273</v>
      </c>
      <c r="C117" s="263" t="s">
        <v>208</v>
      </c>
      <c r="D117" s="293" t="str">
        <f t="shared" si="8"/>
        <v>C</v>
      </c>
      <c r="E117" s="340" t="s">
        <v>217</v>
      </c>
      <c r="F117" s="337" t="s">
        <v>242</v>
      </c>
      <c r="G117" s="263" t="s">
        <v>234</v>
      </c>
      <c r="H117" s="293"/>
      <c r="I117" s="294">
        <v>14000</v>
      </c>
      <c r="J117" s="295"/>
      <c r="K117" s="294">
        <f>I117</f>
        <v>14000</v>
      </c>
      <c r="L117" s="295"/>
      <c r="M117" s="295"/>
      <c r="N117" s="295"/>
      <c r="O117" s="294">
        <v>12600</v>
      </c>
      <c r="P117" s="295"/>
      <c r="Q117" s="294"/>
      <c r="R117" s="386"/>
    </row>
    <row r="118" spans="1:19" s="297" customFormat="1" ht="60" hidden="1" outlineLevel="2">
      <c r="A118" s="254">
        <f>MAX(A$75:$A117)+1</f>
        <v>43</v>
      </c>
      <c r="B118" s="255" t="s">
        <v>280</v>
      </c>
      <c r="C118" s="263" t="s">
        <v>208</v>
      </c>
      <c r="D118" s="293" t="str">
        <f>IF(I118&gt;=45000,"B","C")</f>
        <v>B</v>
      </c>
      <c r="E118" s="340" t="s">
        <v>209</v>
      </c>
      <c r="F118" s="337" t="s">
        <v>281</v>
      </c>
      <c r="G118" s="263" t="s">
        <v>211</v>
      </c>
      <c r="H118" s="310"/>
      <c r="I118" s="294">
        <v>70000</v>
      </c>
      <c r="J118" s="311"/>
      <c r="K118" s="294">
        <v>70000</v>
      </c>
      <c r="L118" s="311"/>
      <c r="M118" s="311"/>
      <c r="N118" s="311"/>
      <c r="O118" s="294">
        <v>63000</v>
      </c>
      <c r="P118" s="295">
        <f>J118*0.9</f>
        <v>0</v>
      </c>
      <c r="Q118" s="295"/>
      <c r="R118" s="388"/>
    </row>
    <row r="119" spans="1:19" s="297" customFormat="1" ht="28.5" hidden="1" outlineLevel="1" collapsed="1">
      <c r="A119" s="323"/>
      <c r="B119" s="326" t="s">
        <v>481</v>
      </c>
      <c r="C119" s="393"/>
      <c r="D119" s="324"/>
      <c r="E119" s="339"/>
      <c r="F119" s="339"/>
      <c r="G119" s="393"/>
      <c r="H119" s="324"/>
      <c r="I119" s="325">
        <f>SUM(I120:I123)</f>
        <v>1480000</v>
      </c>
      <c r="J119" s="325">
        <f t="shared" ref="J119:Q119" si="11">SUM(J120:J123)</f>
        <v>600000</v>
      </c>
      <c r="K119" s="325">
        <f t="shared" si="11"/>
        <v>880000</v>
      </c>
      <c r="L119" s="325">
        <f t="shared" si="11"/>
        <v>0</v>
      </c>
      <c r="M119" s="325">
        <f t="shared" si="11"/>
        <v>0</v>
      </c>
      <c r="N119" s="325">
        <f t="shared" si="11"/>
        <v>0</v>
      </c>
      <c r="O119" s="325">
        <f t="shared" si="11"/>
        <v>1382000</v>
      </c>
      <c r="P119" s="325">
        <f t="shared" si="11"/>
        <v>0</v>
      </c>
      <c r="Q119" s="325">
        <f t="shared" si="11"/>
        <v>0</v>
      </c>
      <c r="R119" s="387"/>
    </row>
    <row r="120" spans="1:19" s="460" customFormat="1" ht="42" hidden="1" customHeight="1" outlineLevel="2">
      <c r="A120" s="411">
        <f>MAX(A$75:$A119)+1</f>
        <v>44</v>
      </c>
      <c r="B120" s="470" t="s">
        <v>274</v>
      </c>
      <c r="C120" s="454" t="s">
        <v>208</v>
      </c>
      <c r="D120" s="453" t="str">
        <f>IF(I120&gt;=45000,"B","C")</f>
        <v>B</v>
      </c>
      <c r="E120" s="452" t="s">
        <v>238</v>
      </c>
      <c r="F120" s="452"/>
      <c r="G120" s="454" t="s">
        <v>211</v>
      </c>
      <c r="H120" s="453"/>
      <c r="I120" s="456">
        <v>780000</v>
      </c>
      <c r="J120" s="456">
        <v>600000</v>
      </c>
      <c r="K120" s="456">
        <f>I120-J120</f>
        <v>180000</v>
      </c>
      <c r="L120" s="471"/>
      <c r="M120" s="471"/>
      <c r="N120" s="471"/>
      <c r="O120" s="456">
        <v>702000</v>
      </c>
      <c r="P120" s="456"/>
      <c r="Q120" s="456"/>
      <c r="R120" s="472" t="s">
        <v>592</v>
      </c>
      <c r="S120" s="460" t="s">
        <v>593</v>
      </c>
    </row>
    <row r="121" spans="1:19" s="297" customFormat="1" ht="38.25" hidden="1" outlineLevel="2">
      <c r="A121" s="254">
        <f>MAX(A$75:$A120)+1</f>
        <v>45</v>
      </c>
      <c r="B121" s="279" t="s">
        <v>275</v>
      </c>
      <c r="C121" s="263" t="s">
        <v>208</v>
      </c>
      <c r="D121" s="293" t="str">
        <f>IF(I121&gt;=45000,"B","C")</f>
        <v>B</v>
      </c>
      <c r="E121" s="337" t="s">
        <v>276</v>
      </c>
      <c r="F121" s="337"/>
      <c r="G121" s="263" t="s">
        <v>211</v>
      </c>
      <c r="H121" s="293"/>
      <c r="I121" s="294">
        <v>500000</v>
      </c>
      <c r="J121" s="294"/>
      <c r="K121" s="294">
        <v>500000</v>
      </c>
      <c r="L121" s="295"/>
      <c r="M121" s="295"/>
      <c r="N121" s="295"/>
      <c r="O121" s="294">
        <v>500000</v>
      </c>
      <c r="P121" s="295"/>
      <c r="Q121" s="294"/>
      <c r="R121" s="386"/>
      <c r="S121" s="297" t="s">
        <v>615</v>
      </c>
    </row>
    <row r="122" spans="1:19" s="297" customFormat="1" ht="48" hidden="1" customHeight="1" outlineLevel="2">
      <c r="A122" s="254">
        <f>MAX(A$75:$A121)+1</f>
        <v>46</v>
      </c>
      <c r="B122" s="279" t="s">
        <v>277</v>
      </c>
      <c r="C122" s="263" t="s">
        <v>208</v>
      </c>
      <c r="D122" s="293" t="str">
        <f>IF(I122&gt;=45000,"B","C")</f>
        <v>B</v>
      </c>
      <c r="E122" s="337" t="s">
        <v>270</v>
      </c>
      <c r="F122" s="337"/>
      <c r="G122" s="263" t="s">
        <v>278</v>
      </c>
      <c r="H122" s="293"/>
      <c r="I122" s="294">
        <v>150000</v>
      </c>
      <c r="J122" s="295"/>
      <c r="K122" s="294">
        <v>150000</v>
      </c>
      <c r="L122" s="295"/>
      <c r="M122" s="295"/>
      <c r="N122" s="295"/>
      <c r="O122" s="294">
        <v>135000</v>
      </c>
      <c r="P122" s="295"/>
      <c r="Q122" s="294"/>
      <c r="R122" s="386"/>
    </row>
    <row r="123" spans="1:19" s="297" customFormat="1" ht="45" hidden="1" outlineLevel="2">
      <c r="A123" s="254">
        <f>MAX(A$75:$A122)+1</f>
        <v>47</v>
      </c>
      <c r="B123" s="307" t="s">
        <v>279</v>
      </c>
      <c r="C123" s="558" t="s">
        <v>208</v>
      </c>
      <c r="D123" s="293" t="str">
        <f>IF(I123&gt;=45000,"B","C")</f>
        <v>B</v>
      </c>
      <c r="E123" s="340" t="s">
        <v>209</v>
      </c>
      <c r="F123" s="340"/>
      <c r="G123" s="263" t="s">
        <v>211</v>
      </c>
      <c r="H123" s="293"/>
      <c r="I123" s="294">
        <v>50000</v>
      </c>
      <c r="J123" s="295"/>
      <c r="K123" s="294">
        <v>50000</v>
      </c>
      <c r="L123" s="295"/>
      <c r="M123" s="295"/>
      <c r="N123" s="295"/>
      <c r="O123" s="294">
        <v>45000</v>
      </c>
      <c r="P123" s="295"/>
      <c r="Q123" s="294"/>
      <c r="R123" s="386"/>
    </row>
    <row r="124" spans="1:19" s="297" customFormat="1" ht="28.5" hidden="1" outlineLevel="1" collapsed="1">
      <c r="A124" s="323"/>
      <c r="B124" s="281" t="s">
        <v>482</v>
      </c>
      <c r="C124" s="393"/>
      <c r="D124" s="324"/>
      <c r="E124" s="339"/>
      <c r="F124" s="339"/>
      <c r="G124" s="393"/>
      <c r="H124" s="324"/>
      <c r="I124" s="325">
        <f>SUM(I125:I128)</f>
        <v>360000</v>
      </c>
      <c r="J124" s="325">
        <f t="shared" ref="J124:Q124" si="12">SUM(J125:J128)</f>
        <v>0</v>
      </c>
      <c r="K124" s="325">
        <f t="shared" si="12"/>
        <v>360000</v>
      </c>
      <c r="L124" s="325">
        <f t="shared" si="12"/>
        <v>0</v>
      </c>
      <c r="M124" s="325">
        <f t="shared" si="12"/>
        <v>0</v>
      </c>
      <c r="N124" s="325">
        <f t="shared" si="12"/>
        <v>0</v>
      </c>
      <c r="O124" s="325">
        <f t="shared" si="12"/>
        <v>324000</v>
      </c>
      <c r="P124" s="325">
        <f t="shared" si="12"/>
        <v>0</v>
      </c>
      <c r="Q124" s="325">
        <f t="shared" si="12"/>
        <v>0</v>
      </c>
      <c r="R124" s="387"/>
    </row>
    <row r="125" spans="1:19" s="297" customFormat="1" ht="39.75" hidden="1" customHeight="1" outlineLevel="2">
      <c r="A125" s="254">
        <f>MAX(A$75:$A124)+1</f>
        <v>48</v>
      </c>
      <c r="B125" s="279" t="s">
        <v>282</v>
      </c>
      <c r="C125" s="263" t="s">
        <v>208</v>
      </c>
      <c r="D125" s="293" t="str">
        <f>IF(I125&gt;=45000,"B","C")</f>
        <v>B</v>
      </c>
      <c r="E125" s="338" t="s">
        <v>209</v>
      </c>
      <c r="F125" s="340" t="s">
        <v>213</v>
      </c>
      <c r="G125" s="263" t="s">
        <v>211</v>
      </c>
      <c r="H125" s="310"/>
      <c r="I125" s="327">
        <v>150000</v>
      </c>
      <c r="J125" s="311"/>
      <c r="K125" s="327">
        <v>150000</v>
      </c>
      <c r="L125" s="311"/>
      <c r="M125" s="311"/>
      <c r="N125" s="311"/>
      <c r="O125" s="294">
        <v>135000</v>
      </c>
      <c r="P125" s="295"/>
      <c r="Q125" s="295"/>
      <c r="R125" s="388"/>
    </row>
    <row r="126" spans="1:19" s="297" customFormat="1" ht="42" hidden="1" customHeight="1" outlineLevel="2">
      <c r="A126" s="254">
        <f>MAX(A$75:$A125)+1</f>
        <v>49</v>
      </c>
      <c r="B126" s="279" t="s">
        <v>283</v>
      </c>
      <c r="C126" s="263" t="s">
        <v>208</v>
      </c>
      <c r="D126" s="293" t="str">
        <f>IF(I126&gt;=45000,"B","C")</f>
        <v>B</v>
      </c>
      <c r="E126" s="338" t="s">
        <v>209</v>
      </c>
      <c r="F126" s="340" t="s">
        <v>213</v>
      </c>
      <c r="G126" s="263" t="s">
        <v>211</v>
      </c>
      <c r="H126" s="310"/>
      <c r="I126" s="328">
        <v>60000</v>
      </c>
      <c r="J126" s="311"/>
      <c r="K126" s="328">
        <v>60000</v>
      </c>
      <c r="L126" s="311"/>
      <c r="M126" s="311"/>
      <c r="N126" s="311"/>
      <c r="O126" s="294">
        <v>54000</v>
      </c>
      <c r="P126" s="295"/>
      <c r="Q126" s="295"/>
      <c r="R126" s="388"/>
    </row>
    <row r="127" spans="1:19" s="297" customFormat="1" ht="44.25" hidden="1" customHeight="1" outlineLevel="2">
      <c r="A127" s="254">
        <f>MAX(A$75:$A126)+1</f>
        <v>50</v>
      </c>
      <c r="B127" s="279" t="s">
        <v>284</v>
      </c>
      <c r="C127" s="263" t="s">
        <v>208</v>
      </c>
      <c r="D127" s="293" t="str">
        <f>IF(I127&gt;=45000,"B","C")</f>
        <v>B</v>
      </c>
      <c r="E127" s="338" t="s">
        <v>209</v>
      </c>
      <c r="F127" s="340" t="s">
        <v>213</v>
      </c>
      <c r="G127" s="263" t="s">
        <v>211</v>
      </c>
      <c r="H127" s="310"/>
      <c r="I127" s="328">
        <v>70000</v>
      </c>
      <c r="J127" s="311"/>
      <c r="K127" s="328">
        <v>70000</v>
      </c>
      <c r="L127" s="311"/>
      <c r="M127" s="311"/>
      <c r="N127" s="311"/>
      <c r="O127" s="294">
        <v>63000</v>
      </c>
      <c r="P127" s="295"/>
      <c r="Q127" s="295"/>
      <c r="R127" s="388"/>
    </row>
    <row r="128" spans="1:19" s="297" customFormat="1" ht="45" hidden="1" outlineLevel="2">
      <c r="A128" s="254">
        <f>MAX(A$75:$A127)+1</f>
        <v>51</v>
      </c>
      <c r="B128" s="279" t="s">
        <v>285</v>
      </c>
      <c r="C128" s="263" t="s">
        <v>208</v>
      </c>
      <c r="D128" s="293" t="str">
        <f>IF(I128&gt;=45000,"B","C")</f>
        <v>B</v>
      </c>
      <c r="E128" s="338" t="s">
        <v>209</v>
      </c>
      <c r="F128" s="340" t="s">
        <v>213</v>
      </c>
      <c r="G128" s="263" t="s">
        <v>211</v>
      </c>
      <c r="H128" s="310"/>
      <c r="I128" s="328">
        <v>80000</v>
      </c>
      <c r="J128" s="311"/>
      <c r="K128" s="328">
        <v>80000</v>
      </c>
      <c r="L128" s="311"/>
      <c r="M128" s="311"/>
      <c r="N128" s="311"/>
      <c r="O128" s="294">
        <v>72000</v>
      </c>
      <c r="P128" s="295"/>
      <c r="Q128" s="295"/>
      <c r="R128" s="388"/>
    </row>
    <row r="129" spans="1:19" s="297" customFormat="1" ht="21" hidden="1" customHeight="1" outlineLevel="1" collapsed="1">
      <c r="A129" s="323"/>
      <c r="B129" s="281" t="s">
        <v>288</v>
      </c>
      <c r="C129" s="393"/>
      <c r="D129" s="324"/>
      <c r="E129" s="339"/>
      <c r="F129" s="339"/>
      <c r="G129" s="393"/>
      <c r="H129" s="324"/>
      <c r="I129" s="325">
        <f>SUM(I130)</f>
        <v>2400000</v>
      </c>
      <c r="J129" s="325">
        <f t="shared" ref="J129:Q129" si="13">SUM(J130)</f>
        <v>0</v>
      </c>
      <c r="K129" s="325">
        <f t="shared" si="13"/>
        <v>2400000</v>
      </c>
      <c r="L129" s="325">
        <f t="shared" si="13"/>
        <v>0</v>
      </c>
      <c r="M129" s="325">
        <f t="shared" si="13"/>
        <v>0</v>
      </c>
      <c r="N129" s="325">
        <f t="shared" si="13"/>
        <v>0</v>
      </c>
      <c r="O129" s="325">
        <f t="shared" si="13"/>
        <v>1680000</v>
      </c>
      <c r="P129" s="325">
        <f t="shared" si="13"/>
        <v>0</v>
      </c>
      <c r="Q129" s="325">
        <f t="shared" si="13"/>
        <v>0</v>
      </c>
      <c r="R129" s="387"/>
    </row>
    <row r="130" spans="1:19" s="297" customFormat="1" ht="72.75" hidden="1" customHeight="1" outlineLevel="2">
      <c r="A130" s="254">
        <f>MAX(A$75:$A129)+1</f>
        <v>52</v>
      </c>
      <c r="B130" s="279" t="s">
        <v>287</v>
      </c>
      <c r="C130" s="263" t="s">
        <v>208</v>
      </c>
      <c r="D130" s="293" t="s">
        <v>20</v>
      </c>
      <c r="E130" s="338" t="s">
        <v>209</v>
      </c>
      <c r="F130" s="340" t="s">
        <v>213</v>
      </c>
      <c r="G130" s="263" t="s">
        <v>240</v>
      </c>
      <c r="H130" s="310"/>
      <c r="I130" s="294">
        <v>2400000</v>
      </c>
      <c r="J130" s="294"/>
      <c r="K130" s="294">
        <v>2400000</v>
      </c>
      <c r="L130" s="311"/>
      <c r="M130" s="311"/>
      <c r="N130" s="311"/>
      <c r="O130" s="294">
        <v>1680000</v>
      </c>
      <c r="P130" s="295">
        <f>J130*0.9</f>
        <v>0</v>
      </c>
      <c r="Q130" s="294"/>
      <c r="R130" s="468" t="s">
        <v>286</v>
      </c>
    </row>
    <row r="131" spans="1:19" s="297" customFormat="1" ht="28.5" collapsed="1">
      <c r="A131" s="527" t="s">
        <v>837</v>
      </c>
      <c r="B131" s="298" t="s">
        <v>174</v>
      </c>
      <c r="C131" s="394"/>
      <c r="D131" s="343"/>
      <c r="E131" s="344"/>
      <c r="F131" s="344"/>
      <c r="G131" s="394"/>
      <c r="H131" s="343"/>
      <c r="I131" s="346">
        <f>+I132</f>
        <v>8865657</v>
      </c>
      <c r="J131" s="346">
        <f t="shared" ref="J131:Q131" si="14">+J132</f>
        <v>0</v>
      </c>
      <c r="K131" s="346">
        <f t="shared" si="14"/>
        <v>8865657</v>
      </c>
      <c r="L131" s="346">
        <f t="shared" si="14"/>
        <v>0</v>
      </c>
      <c r="M131" s="346">
        <f t="shared" si="14"/>
        <v>0</v>
      </c>
      <c r="N131" s="346">
        <f t="shared" si="14"/>
        <v>0</v>
      </c>
      <c r="O131" s="346">
        <f t="shared" si="14"/>
        <v>8665000</v>
      </c>
      <c r="P131" s="346">
        <f t="shared" si="14"/>
        <v>0</v>
      </c>
      <c r="Q131" s="346">
        <f t="shared" si="14"/>
        <v>0</v>
      </c>
      <c r="R131" s="344"/>
    </row>
    <row r="132" spans="1:19" s="297" customFormat="1" ht="28.5" hidden="1" outlineLevel="1" collapsed="1">
      <c r="A132" s="323"/>
      <c r="B132" s="281" t="s">
        <v>483</v>
      </c>
      <c r="C132" s="393"/>
      <c r="D132" s="324"/>
      <c r="E132" s="339"/>
      <c r="F132" s="339"/>
      <c r="G132" s="393"/>
      <c r="H132" s="324"/>
      <c r="I132" s="325">
        <f>SUM(I133:I146)</f>
        <v>8865657</v>
      </c>
      <c r="J132" s="325">
        <f t="shared" ref="J132:Q132" si="15">SUM(J133:J146)</f>
        <v>0</v>
      </c>
      <c r="K132" s="325">
        <f t="shared" si="15"/>
        <v>8865657</v>
      </c>
      <c r="L132" s="325">
        <f t="shared" si="15"/>
        <v>0</v>
      </c>
      <c r="M132" s="325">
        <f t="shared" si="15"/>
        <v>0</v>
      </c>
      <c r="N132" s="325">
        <f t="shared" si="15"/>
        <v>0</v>
      </c>
      <c r="O132" s="325">
        <f t="shared" si="15"/>
        <v>8665000</v>
      </c>
      <c r="P132" s="325">
        <f t="shared" si="15"/>
        <v>0</v>
      </c>
      <c r="Q132" s="325">
        <f t="shared" si="15"/>
        <v>0</v>
      </c>
      <c r="R132" s="387"/>
    </row>
    <row r="133" spans="1:19" s="297" customFormat="1" ht="75" hidden="1" outlineLevel="2">
      <c r="A133" s="254">
        <v>1</v>
      </c>
      <c r="B133" s="279" t="s">
        <v>484</v>
      </c>
      <c r="C133" s="263" t="s">
        <v>174</v>
      </c>
      <c r="D133" s="293" t="s">
        <v>101</v>
      </c>
      <c r="E133" s="338" t="s">
        <v>435</v>
      </c>
      <c r="F133" s="340" t="s">
        <v>485</v>
      </c>
      <c r="G133" s="263" t="s">
        <v>212</v>
      </c>
      <c r="H133" s="310"/>
      <c r="I133" s="328">
        <v>201657</v>
      </c>
      <c r="J133" s="311"/>
      <c r="K133" s="328">
        <f t="shared" ref="K133:K145" si="16">I133</f>
        <v>201657</v>
      </c>
      <c r="L133" s="311"/>
      <c r="M133" s="311"/>
      <c r="N133" s="311"/>
      <c r="O133" s="294">
        <v>200000</v>
      </c>
      <c r="P133" s="295"/>
      <c r="Q133" s="294"/>
      <c r="R133" s="388"/>
    </row>
    <row r="134" spans="1:19" s="297" customFormat="1" ht="60" hidden="1" outlineLevel="2">
      <c r="A134" s="254">
        <f>MAX(A$133:$A133)+1</f>
        <v>2</v>
      </c>
      <c r="B134" s="279" t="s">
        <v>486</v>
      </c>
      <c r="C134" s="263" t="s">
        <v>174</v>
      </c>
      <c r="D134" s="293" t="s">
        <v>101</v>
      </c>
      <c r="E134" s="338" t="s">
        <v>435</v>
      </c>
      <c r="F134" s="340"/>
      <c r="G134" s="263" t="s">
        <v>212</v>
      </c>
      <c r="H134" s="310"/>
      <c r="I134" s="328">
        <v>100000</v>
      </c>
      <c r="J134" s="311"/>
      <c r="K134" s="328">
        <f t="shared" si="16"/>
        <v>100000</v>
      </c>
      <c r="L134" s="311"/>
      <c r="M134" s="311"/>
      <c r="N134" s="311"/>
      <c r="O134" s="294">
        <v>100000</v>
      </c>
      <c r="P134" s="295"/>
      <c r="Q134" s="294"/>
      <c r="R134" s="388"/>
    </row>
    <row r="135" spans="1:19" s="460" customFormat="1" ht="55.9" hidden="1" customHeight="1" outlineLevel="2">
      <c r="A135" s="411">
        <f>MAX(A$133:$A134)+1</f>
        <v>3</v>
      </c>
      <c r="B135" s="470" t="s">
        <v>611</v>
      </c>
      <c r="C135" s="559" t="s">
        <v>612</v>
      </c>
      <c r="D135" s="453" t="s">
        <v>101</v>
      </c>
      <c r="E135" s="452" t="s">
        <v>435</v>
      </c>
      <c r="F135" s="452" t="s">
        <v>614</v>
      </c>
      <c r="G135" s="454" t="s">
        <v>211</v>
      </c>
      <c r="H135" s="473"/>
      <c r="I135" s="474">
        <v>350000</v>
      </c>
      <c r="J135" s="475"/>
      <c r="K135" s="474">
        <v>350000</v>
      </c>
      <c r="L135" s="475"/>
      <c r="M135" s="475"/>
      <c r="N135" s="475"/>
      <c r="O135" s="474">
        <v>350000</v>
      </c>
      <c r="P135" s="474"/>
      <c r="Q135" s="474"/>
      <c r="R135" s="476"/>
      <c r="S135" s="460" t="s">
        <v>613</v>
      </c>
    </row>
    <row r="136" spans="1:19" s="297" customFormat="1" ht="45" hidden="1" outlineLevel="2">
      <c r="A136" s="254">
        <f>MAX(A$133:$A135)+1</f>
        <v>4</v>
      </c>
      <c r="B136" s="279" t="s">
        <v>487</v>
      </c>
      <c r="C136" s="263" t="s">
        <v>174</v>
      </c>
      <c r="D136" s="293" t="s">
        <v>101</v>
      </c>
      <c r="E136" s="338" t="s">
        <v>435</v>
      </c>
      <c r="F136" s="340" t="s">
        <v>488</v>
      </c>
      <c r="G136" s="263" t="s">
        <v>300</v>
      </c>
      <c r="H136" s="310"/>
      <c r="I136" s="328">
        <v>500000</v>
      </c>
      <c r="J136" s="311"/>
      <c r="K136" s="328">
        <f>I136</f>
        <v>500000</v>
      </c>
      <c r="L136" s="311"/>
      <c r="M136" s="311"/>
      <c r="N136" s="311"/>
      <c r="O136" s="474">
        <v>500000</v>
      </c>
      <c r="P136" s="474"/>
      <c r="Q136" s="294"/>
      <c r="R136" s="388"/>
    </row>
    <row r="137" spans="1:19" s="297" customFormat="1" ht="38.25" hidden="1" outlineLevel="2">
      <c r="A137" s="254">
        <f>MAX(A$133:$A136)+1</f>
        <v>5</v>
      </c>
      <c r="B137" s="279" t="s">
        <v>489</v>
      </c>
      <c r="C137" s="263" t="s">
        <v>174</v>
      </c>
      <c r="D137" s="293" t="s">
        <v>101</v>
      </c>
      <c r="E137" s="338" t="s">
        <v>435</v>
      </c>
      <c r="F137" s="340" t="s">
        <v>490</v>
      </c>
      <c r="G137" s="263" t="s">
        <v>300</v>
      </c>
      <c r="H137" s="310"/>
      <c r="I137" s="328">
        <v>400000</v>
      </c>
      <c r="J137" s="311"/>
      <c r="K137" s="328">
        <f t="shared" si="16"/>
        <v>400000</v>
      </c>
      <c r="L137" s="311"/>
      <c r="M137" s="311"/>
      <c r="N137" s="311"/>
      <c r="O137" s="474">
        <v>400000</v>
      </c>
      <c r="P137" s="474"/>
      <c r="Q137" s="294"/>
      <c r="R137" s="388"/>
    </row>
    <row r="138" spans="1:19" s="297" customFormat="1" ht="38.25" hidden="1" outlineLevel="2">
      <c r="A138" s="254">
        <f>MAX(A$133:$A137)+1</f>
        <v>6</v>
      </c>
      <c r="B138" s="279" t="s">
        <v>491</v>
      </c>
      <c r="C138" s="263" t="s">
        <v>174</v>
      </c>
      <c r="D138" s="293" t="s">
        <v>101</v>
      </c>
      <c r="E138" s="338" t="s">
        <v>435</v>
      </c>
      <c r="F138" s="340" t="s">
        <v>492</v>
      </c>
      <c r="G138" s="263" t="s">
        <v>278</v>
      </c>
      <c r="H138" s="310"/>
      <c r="I138" s="328">
        <v>2900000</v>
      </c>
      <c r="J138" s="543">
        <f>P138</f>
        <v>0</v>
      </c>
      <c r="K138" s="602">
        <f>I138-J138</f>
        <v>2900000</v>
      </c>
      <c r="L138" s="311"/>
      <c r="M138" s="311"/>
      <c r="N138" s="311"/>
      <c r="O138" s="328">
        <v>2900000</v>
      </c>
      <c r="P138" s="474"/>
      <c r="Q138" s="294"/>
      <c r="R138" s="388"/>
    </row>
    <row r="139" spans="1:19" s="297" customFormat="1" ht="38.25" hidden="1" outlineLevel="2">
      <c r="A139" s="254">
        <f>MAX(A$133:$A138)+1</f>
        <v>7</v>
      </c>
      <c r="B139" s="279" t="s">
        <v>493</v>
      </c>
      <c r="C139" s="263" t="s">
        <v>174</v>
      </c>
      <c r="D139" s="293" t="s">
        <v>101</v>
      </c>
      <c r="E139" s="338" t="s">
        <v>435</v>
      </c>
      <c r="F139" s="340" t="s">
        <v>494</v>
      </c>
      <c r="G139" s="263" t="s">
        <v>300</v>
      </c>
      <c r="H139" s="310"/>
      <c r="I139" s="328">
        <v>1500000</v>
      </c>
      <c r="J139" s="311"/>
      <c r="K139" s="328">
        <f t="shared" si="16"/>
        <v>1500000</v>
      </c>
      <c r="L139" s="311"/>
      <c r="M139" s="311"/>
      <c r="N139" s="311"/>
      <c r="O139" s="474">
        <v>1500000</v>
      </c>
      <c r="P139" s="474"/>
      <c r="Q139" s="294"/>
      <c r="R139" s="388"/>
    </row>
    <row r="140" spans="1:19" s="297" customFormat="1" ht="38.25" hidden="1" outlineLevel="2">
      <c r="A140" s="254">
        <f>MAX(A$133:$A139)+1</f>
        <v>8</v>
      </c>
      <c r="B140" s="279" t="s">
        <v>495</v>
      </c>
      <c r="C140" s="263" t="s">
        <v>174</v>
      </c>
      <c r="D140" s="293" t="s">
        <v>101</v>
      </c>
      <c r="E140" s="338" t="s">
        <v>435</v>
      </c>
      <c r="F140" s="340" t="s">
        <v>496</v>
      </c>
      <c r="G140" s="263" t="s">
        <v>212</v>
      </c>
      <c r="H140" s="310"/>
      <c r="I140" s="328">
        <f>10*13000</f>
        <v>130000</v>
      </c>
      <c r="J140" s="311"/>
      <c r="K140" s="328">
        <f t="shared" si="16"/>
        <v>130000</v>
      </c>
      <c r="L140" s="311"/>
      <c r="M140" s="311"/>
      <c r="N140" s="311"/>
      <c r="O140" s="294">
        <v>120000</v>
      </c>
      <c r="P140" s="295"/>
      <c r="Q140" s="294"/>
      <c r="R140" s="388"/>
    </row>
    <row r="141" spans="1:19" s="297" customFormat="1" ht="38.25" hidden="1" outlineLevel="2">
      <c r="A141" s="254">
        <f>MAX(A$133:$A140)+1</f>
        <v>9</v>
      </c>
      <c r="B141" s="279" t="s">
        <v>497</v>
      </c>
      <c r="C141" s="263" t="s">
        <v>174</v>
      </c>
      <c r="D141" s="293" t="s">
        <v>101</v>
      </c>
      <c r="E141" s="338" t="s">
        <v>435</v>
      </c>
      <c r="F141" s="340" t="s">
        <v>498</v>
      </c>
      <c r="G141" s="263" t="s">
        <v>212</v>
      </c>
      <c r="H141" s="310"/>
      <c r="I141" s="328">
        <f>30*13000</f>
        <v>390000</v>
      </c>
      <c r="J141" s="311"/>
      <c r="K141" s="328">
        <f t="shared" si="16"/>
        <v>390000</v>
      </c>
      <c r="L141" s="311"/>
      <c r="M141" s="311"/>
      <c r="N141" s="311"/>
      <c r="O141" s="294">
        <v>350000</v>
      </c>
      <c r="P141" s="295"/>
      <c r="Q141" s="294"/>
      <c r="R141" s="388"/>
    </row>
    <row r="142" spans="1:19" s="297" customFormat="1" ht="38.25" hidden="1" outlineLevel="2">
      <c r="A142" s="254">
        <f>MAX(A$133:$A141)+1</f>
        <v>10</v>
      </c>
      <c r="B142" s="279" t="s">
        <v>499</v>
      </c>
      <c r="C142" s="263" t="s">
        <v>174</v>
      </c>
      <c r="D142" s="293" t="s">
        <v>101</v>
      </c>
      <c r="E142" s="338" t="s">
        <v>435</v>
      </c>
      <c r="F142" s="340" t="s">
        <v>498</v>
      </c>
      <c r="G142" s="263" t="s">
        <v>212</v>
      </c>
      <c r="H142" s="310"/>
      <c r="I142" s="328">
        <f>30*13000</f>
        <v>390000</v>
      </c>
      <c r="J142" s="311"/>
      <c r="K142" s="328">
        <f t="shared" si="16"/>
        <v>390000</v>
      </c>
      <c r="L142" s="311"/>
      <c r="M142" s="311"/>
      <c r="N142" s="311"/>
      <c r="O142" s="294">
        <v>350000</v>
      </c>
      <c r="P142" s="295"/>
      <c r="Q142" s="294"/>
      <c r="R142" s="388"/>
    </row>
    <row r="143" spans="1:19" s="297" customFormat="1" ht="38.25" hidden="1" outlineLevel="2">
      <c r="A143" s="254">
        <f>MAX(A$133:$A142)+1</f>
        <v>11</v>
      </c>
      <c r="B143" s="279" t="s">
        <v>500</v>
      </c>
      <c r="C143" s="263" t="s">
        <v>174</v>
      </c>
      <c r="D143" s="293" t="s">
        <v>101</v>
      </c>
      <c r="E143" s="338" t="s">
        <v>435</v>
      </c>
      <c r="F143" s="340" t="s">
        <v>501</v>
      </c>
      <c r="G143" s="263" t="s">
        <v>212</v>
      </c>
      <c r="H143" s="310"/>
      <c r="I143" s="328">
        <f>33*13000</f>
        <v>429000</v>
      </c>
      <c r="J143" s="311"/>
      <c r="K143" s="328">
        <f t="shared" si="16"/>
        <v>429000</v>
      </c>
      <c r="L143" s="311"/>
      <c r="M143" s="311"/>
      <c r="N143" s="311"/>
      <c r="O143" s="294">
        <v>400000</v>
      </c>
      <c r="P143" s="295"/>
      <c r="Q143" s="294"/>
      <c r="R143" s="388"/>
    </row>
    <row r="144" spans="1:19" s="297" customFormat="1" ht="38.25" hidden="1" outlineLevel="2">
      <c r="A144" s="254">
        <f>MAX(A$133:$A143)+1</f>
        <v>12</v>
      </c>
      <c r="B144" s="279" t="s">
        <v>502</v>
      </c>
      <c r="C144" s="263" t="s">
        <v>174</v>
      </c>
      <c r="D144" s="293" t="s">
        <v>101</v>
      </c>
      <c r="E144" s="338" t="s">
        <v>435</v>
      </c>
      <c r="F144" s="340" t="s">
        <v>503</v>
      </c>
      <c r="G144" s="263" t="s">
        <v>212</v>
      </c>
      <c r="H144" s="310"/>
      <c r="I144" s="328">
        <f>50*13000</f>
        <v>650000</v>
      </c>
      <c r="J144" s="311"/>
      <c r="K144" s="328">
        <f t="shared" si="16"/>
        <v>650000</v>
      </c>
      <c r="L144" s="311"/>
      <c r="M144" s="311"/>
      <c r="N144" s="311"/>
      <c r="O144" s="294">
        <v>620000</v>
      </c>
      <c r="P144" s="295"/>
      <c r="Q144" s="294"/>
      <c r="R144" s="388"/>
    </row>
    <row r="145" spans="1:18" s="297" customFormat="1" ht="38.25" hidden="1" outlineLevel="2">
      <c r="A145" s="254">
        <f>MAX(A$133:$A144)+1</f>
        <v>13</v>
      </c>
      <c r="B145" s="279" t="s">
        <v>504</v>
      </c>
      <c r="C145" s="263" t="s">
        <v>174</v>
      </c>
      <c r="D145" s="293" t="s">
        <v>173</v>
      </c>
      <c r="E145" s="338" t="s">
        <v>473</v>
      </c>
      <c r="F145" s="340" t="s">
        <v>505</v>
      </c>
      <c r="G145" s="263" t="s">
        <v>330</v>
      </c>
      <c r="H145" s="310"/>
      <c r="I145" s="328">
        <v>25000</v>
      </c>
      <c r="J145" s="311"/>
      <c r="K145" s="328">
        <f t="shared" si="16"/>
        <v>25000</v>
      </c>
      <c r="L145" s="311"/>
      <c r="M145" s="311"/>
      <c r="N145" s="311"/>
      <c r="O145" s="294">
        <v>25000</v>
      </c>
      <c r="P145" s="295"/>
      <c r="Q145" s="294"/>
      <c r="R145" s="388"/>
    </row>
    <row r="146" spans="1:18" s="297" customFormat="1" ht="38.25" hidden="1" outlineLevel="2">
      <c r="A146" s="254">
        <f>MAX(A$133:$A145)+1</f>
        <v>14</v>
      </c>
      <c r="B146" s="279" t="s">
        <v>506</v>
      </c>
      <c r="C146" s="263" t="s">
        <v>174</v>
      </c>
      <c r="D146" s="293" t="s">
        <v>101</v>
      </c>
      <c r="E146" s="338" t="s">
        <v>435</v>
      </c>
      <c r="F146" s="340"/>
      <c r="G146" s="263" t="s">
        <v>211</v>
      </c>
      <c r="H146" s="310"/>
      <c r="I146" s="328">
        <v>900000</v>
      </c>
      <c r="J146" s="311"/>
      <c r="K146" s="328">
        <f>I146</f>
        <v>900000</v>
      </c>
      <c r="L146" s="311"/>
      <c r="M146" s="311"/>
      <c r="N146" s="311"/>
      <c r="O146" s="294">
        <v>850000</v>
      </c>
      <c r="P146" s="295"/>
      <c r="Q146" s="294"/>
      <c r="R146" s="388"/>
    </row>
    <row r="147" spans="1:18" s="297" customFormat="1" ht="20.25" customHeight="1" collapsed="1">
      <c r="A147" s="527" t="s">
        <v>838</v>
      </c>
      <c r="B147" s="298" t="s">
        <v>177</v>
      </c>
      <c r="C147" s="394"/>
      <c r="D147" s="343"/>
      <c r="E147" s="344"/>
      <c r="F147" s="344"/>
      <c r="G147" s="394"/>
      <c r="H147" s="343"/>
      <c r="I147" s="346">
        <f>+I148</f>
        <v>420000</v>
      </c>
      <c r="J147" s="346">
        <f t="shared" ref="J147:Q147" si="17">+J148</f>
        <v>290000</v>
      </c>
      <c r="K147" s="346">
        <f t="shared" si="17"/>
        <v>130000</v>
      </c>
      <c r="L147" s="346">
        <f t="shared" si="17"/>
        <v>0</v>
      </c>
      <c r="M147" s="346">
        <f t="shared" si="17"/>
        <v>0</v>
      </c>
      <c r="N147" s="346">
        <f t="shared" si="17"/>
        <v>0</v>
      </c>
      <c r="O147" s="346">
        <f t="shared" si="17"/>
        <v>130000</v>
      </c>
      <c r="P147" s="346">
        <f t="shared" si="17"/>
        <v>0</v>
      </c>
      <c r="Q147" s="346">
        <f t="shared" si="17"/>
        <v>0</v>
      </c>
      <c r="R147" s="344"/>
    </row>
    <row r="148" spans="1:18" s="297" customFormat="1" ht="28.5" hidden="1" outlineLevel="1" collapsed="1">
      <c r="A148" s="323"/>
      <c r="B148" s="281" t="s">
        <v>533</v>
      </c>
      <c r="C148" s="393"/>
      <c r="D148" s="324"/>
      <c r="E148" s="339"/>
      <c r="F148" s="339"/>
      <c r="G148" s="393"/>
      <c r="H148" s="324"/>
      <c r="I148" s="325">
        <f>SUM(I149:I161)</f>
        <v>420000</v>
      </c>
      <c r="J148" s="325">
        <f t="shared" ref="J148:Q148" si="18">SUM(J149:J161)</f>
        <v>290000</v>
      </c>
      <c r="K148" s="325">
        <f t="shared" si="18"/>
        <v>130000</v>
      </c>
      <c r="L148" s="325">
        <f t="shared" si="18"/>
        <v>0</v>
      </c>
      <c r="M148" s="325">
        <f t="shared" si="18"/>
        <v>0</v>
      </c>
      <c r="N148" s="325">
        <f t="shared" si="18"/>
        <v>0</v>
      </c>
      <c r="O148" s="325">
        <f t="shared" si="18"/>
        <v>130000</v>
      </c>
      <c r="P148" s="325">
        <f t="shared" si="18"/>
        <v>0</v>
      </c>
      <c r="Q148" s="325">
        <f t="shared" si="18"/>
        <v>0</v>
      </c>
      <c r="R148" s="387"/>
    </row>
    <row r="149" spans="1:18" ht="45.75" hidden="1" customHeight="1" outlineLevel="2">
      <c r="A149" s="362">
        <v>1</v>
      </c>
      <c r="B149" s="255" t="s">
        <v>512</v>
      </c>
      <c r="C149" s="560" t="s">
        <v>177</v>
      </c>
      <c r="D149" s="271" t="s">
        <v>173</v>
      </c>
      <c r="E149" s="390" t="s">
        <v>467</v>
      </c>
      <c r="F149" s="379" t="s">
        <v>213</v>
      </c>
      <c r="G149" s="395" t="s">
        <v>513</v>
      </c>
      <c r="H149" s="372"/>
      <c r="I149" s="374">
        <v>10000</v>
      </c>
      <c r="J149" s="375"/>
      <c r="K149" s="373">
        <v>10000</v>
      </c>
      <c r="L149" s="78"/>
      <c r="M149" s="78"/>
      <c r="N149" s="78"/>
      <c r="O149" s="373">
        <v>10000</v>
      </c>
      <c r="P149" s="78"/>
      <c r="Q149" s="373"/>
      <c r="R149" s="966" t="s">
        <v>514</v>
      </c>
    </row>
    <row r="150" spans="1:18" ht="45" hidden="1" outlineLevel="2">
      <c r="A150" s="254">
        <f>MAX(A$149:$A149)+1</f>
        <v>2</v>
      </c>
      <c r="B150" s="255" t="s">
        <v>515</v>
      </c>
      <c r="C150" s="560" t="s">
        <v>177</v>
      </c>
      <c r="D150" s="271" t="s">
        <v>173</v>
      </c>
      <c r="E150" s="390" t="s">
        <v>467</v>
      </c>
      <c r="F150" s="379" t="s">
        <v>213</v>
      </c>
      <c r="G150" s="395" t="s">
        <v>516</v>
      </c>
      <c r="H150" s="372"/>
      <c r="I150" s="374">
        <v>10000</v>
      </c>
      <c r="J150" s="375"/>
      <c r="K150" s="373">
        <v>10000</v>
      </c>
      <c r="L150" s="78"/>
      <c r="M150" s="78"/>
      <c r="N150" s="78"/>
      <c r="O150" s="373">
        <v>10000</v>
      </c>
      <c r="P150" s="78"/>
      <c r="Q150" s="373"/>
      <c r="R150" s="966"/>
    </row>
    <row r="151" spans="1:18" ht="45" hidden="1" outlineLevel="2">
      <c r="A151" s="254">
        <f>MAX(A$149:$A150)+1</f>
        <v>3</v>
      </c>
      <c r="B151" s="255" t="s">
        <v>517</v>
      </c>
      <c r="C151" s="560" t="s">
        <v>177</v>
      </c>
      <c r="D151" s="271" t="s">
        <v>173</v>
      </c>
      <c r="E151" s="390" t="s">
        <v>209</v>
      </c>
      <c r="F151" s="379" t="s">
        <v>213</v>
      </c>
      <c r="G151" s="395" t="s">
        <v>516</v>
      </c>
      <c r="H151" s="372"/>
      <c r="I151" s="374">
        <v>10000</v>
      </c>
      <c r="J151" s="375"/>
      <c r="K151" s="373">
        <v>10000</v>
      </c>
      <c r="L151" s="78"/>
      <c r="M151" s="78"/>
      <c r="N151" s="78"/>
      <c r="O151" s="373">
        <v>10000</v>
      </c>
      <c r="P151" s="78"/>
      <c r="Q151" s="373"/>
      <c r="R151" s="966"/>
    </row>
    <row r="152" spans="1:18" ht="45" hidden="1" outlineLevel="2">
      <c r="A152" s="254">
        <f>MAX(A$149:$A151)+1</f>
        <v>4</v>
      </c>
      <c r="B152" s="255" t="s">
        <v>518</v>
      </c>
      <c r="C152" s="560" t="s">
        <v>177</v>
      </c>
      <c r="D152" s="271" t="s">
        <v>173</v>
      </c>
      <c r="E152" s="390" t="s">
        <v>467</v>
      </c>
      <c r="F152" s="379" t="s">
        <v>213</v>
      </c>
      <c r="G152" s="395" t="s">
        <v>519</v>
      </c>
      <c r="H152" s="372"/>
      <c r="I152" s="374">
        <v>10000</v>
      </c>
      <c r="J152" s="375"/>
      <c r="K152" s="373">
        <v>10000</v>
      </c>
      <c r="L152" s="78"/>
      <c r="M152" s="78"/>
      <c r="N152" s="78"/>
      <c r="O152" s="373">
        <v>10000</v>
      </c>
      <c r="P152" s="78"/>
      <c r="Q152" s="373"/>
      <c r="R152" s="966"/>
    </row>
    <row r="153" spans="1:18" ht="45" hidden="1" outlineLevel="2">
      <c r="A153" s="254">
        <f>MAX(A$149:$A152)+1</f>
        <v>5</v>
      </c>
      <c r="B153" s="255" t="s">
        <v>520</v>
      </c>
      <c r="C153" s="560" t="s">
        <v>177</v>
      </c>
      <c r="D153" s="271" t="s">
        <v>173</v>
      </c>
      <c r="E153" s="390" t="s">
        <v>534</v>
      </c>
      <c r="F153" s="379" t="s">
        <v>213</v>
      </c>
      <c r="G153" s="395" t="s">
        <v>519</v>
      </c>
      <c r="H153" s="372"/>
      <c r="I153" s="374">
        <v>10000</v>
      </c>
      <c r="J153" s="375"/>
      <c r="K153" s="373">
        <v>10000</v>
      </c>
      <c r="L153" s="78"/>
      <c r="M153" s="78"/>
      <c r="N153" s="78"/>
      <c r="O153" s="373">
        <v>10000</v>
      </c>
      <c r="P153" s="78"/>
      <c r="Q153" s="373"/>
      <c r="R153" s="966"/>
    </row>
    <row r="154" spans="1:18" ht="45" hidden="1" outlineLevel="2">
      <c r="A154" s="254">
        <f>MAX(A$149:$A153)+1</f>
        <v>6</v>
      </c>
      <c r="B154" s="255" t="s">
        <v>521</v>
      </c>
      <c r="C154" s="560" t="s">
        <v>177</v>
      </c>
      <c r="D154" s="271" t="s">
        <v>173</v>
      </c>
      <c r="E154" s="390" t="s">
        <v>467</v>
      </c>
      <c r="F154" s="379" t="s">
        <v>213</v>
      </c>
      <c r="G154" s="395" t="s">
        <v>522</v>
      </c>
      <c r="H154" s="372"/>
      <c r="I154" s="374">
        <v>10000</v>
      </c>
      <c r="J154" s="375"/>
      <c r="K154" s="373">
        <v>10000</v>
      </c>
      <c r="L154" s="78"/>
      <c r="M154" s="78"/>
      <c r="N154" s="78"/>
      <c r="O154" s="373">
        <v>10000</v>
      </c>
      <c r="P154" s="78"/>
      <c r="Q154" s="373"/>
      <c r="R154" s="966"/>
    </row>
    <row r="155" spans="1:18" ht="45" hidden="1" outlineLevel="2">
      <c r="A155" s="254">
        <f>MAX(A$149:$A154)+1</f>
        <v>7</v>
      </c>
      <c r="B155" s="255" t="s">
        <v>523</v>
      </c>
      <c r="C155" s="560" t="s">
        <v>177</v>
      </c>
      <c r="D155" s="271" t="s">
        <v>173</v>
      </c>
      <c r="E155" s="390" t="s">
        <v>270</v>
      </c>
      <c r="F155" s="379" t="s">
        <v>213</v>
      </c>
      <c r="G155" s="395" t="s">
        <v>522</v>
      </c>
      <c r="H155" s="372"/>
      <c r="I155" s="374">
        <v>10000</v>
      </c>
      <c r="J155" s="375"/>
      <c r="K155" s="373">
        <v>10000</v>
      </c>
      <c r="L155" s="78"/>
      <c r="M155" s="78"/>
      <c r="N155" s="78"/>
      <c r="O155" s="373">
        <v>10000</v>
      </c>
      <c r="P155" s="78"/>
      <c r="Q155" s="373"/>
      <c r="R155" s="966"/>
    </row>
    <row r="156" spans="1:18" ht="45" hidden="1" outlineLevel="2">
      <c r="A156" s="254">
        <f>MAX(A$149:$A155)+1</f>
        <v>8</v>
      </c>
      <c r="B156" s="255" t="s">
        <v>524</v>
      </c>
      <c r="C156" s="560" t="s">
        <v>177</v>
      </c>
      <c r="D156" s="271" t="s">
        <v>173</v>
      </c>
      <c r="E156" s="390" t="s">
        <v>209</v>
      </c>
      <c r="F156" s="379" t="s">
        <v>213</v>
      </c>
      <c r="G156" s="395" t="s">
        <v>525</v>
      </c>
      <c r="H156" s="372"/>
      <c r="I156" s="374">
        <v>10000</v>
      </c>
      <c r="J156" s="375"/>
      <c r="K156" s="373">
        <v>10000</v>
      </c>
      <c r="L156" s="78"/>
      <c r="M156" s="78"/>
      <c r="N156" s="78"/>
      <c r="O156" s="373">
        <v>10000</v>
      </c>
      <c r="P156" s="78"/>
      <c r="Q156" s="373"/>
      <c r="R156" s="966"/>
    </row>
    <row r="157" spans="1:18" ht="45" hidden="1" outlineLevel="2">
      <c r="A157" s="254">
        <f>MAX(A$149:$A156)+1</f>
        <v>9</v>
      </c>
      <c r="B157" s="255" t="s">
        <v>526</v>
      </c>
      <c r="C157" s="560" t="s">
        <v>177</v>
      </c>
      <c r="D157" s="271" t="s">
        <v>173</v>
      </c>
      <c r="E157" s="390" t="s">
        <v>534</v>
      </c>
      <c r="F157" s="379" t="s">
        <v>213</v>
      </c>
      <c r="G157" s="395" t="s">
        <v>525</v>
      </c>
      <c r="H157" s="372"/>
      <c r="I157" s="374">
        <v>10000</v>
      </c>
      <c r="J157" s="375"/>
      <c r="K157" s="373">
        <v>10000</v>
      </c>
      <c r="L157" s="78"/>
      <c r="M157" s="78"/>
      <c r="N157" s="78"/>
      <c r="O157" s="373">
        <v>10000</v>
      </c>
      <c r="P157" s="78"/>
      <c r="Q157" s="373"/>
      <c r="R157" s="966"/>
    </row>
    <row r="158" spans="1:18" ht="63.75" hidden="1" outlineLevel="2">
      <c r="A158" s="254">
        <f>MAX(A$149:$A157)+1</f>
        <v>10</v>
      </c>
      <c r="B158" s="255" t="s">
        <v>527</v>
      </c>
      <c r="C158" s="560" t="s">
        <v>177</v>
      </c>
      <c r="D158" s="271" t="s">
        <v>101</v>
      </c>
      <c r="E158" s="390" t="s">
        <v>535</v>
      </c>
      <c r="F158" s="379" t="s">
        <v>528</v>
      </c>
      <c r="G158" s="395" t="s">
        <v>178</v>
      </c>
      <c r="H158" s="372"/>
      <c r="I158" s="374">
        <v>60000</v>
      </c>
      <c r="J158" s="374">
        <v>50000</v>
      </c>
      <c r="K158" s="373">
        <v>10000</v>
      </c>
      <c r="L158" s="78"/>
      <c r="M158" s="78"/>
      <c r="N158" s="78"/>
      <c r="O158" s="373">
        <v>10000</v>
      </c>
      <c r="P158" s="78"/>
      <c r="Q158" s="373"/>
      <c r="R158" s="534" t="s">
        <v>529</v>
      </c>
    </row>
    <row r="159" spans="1:18" ht="60" hidden="1" outlineLevel="2">
      <c r="A159" s="254">
        <f>MAX(A$149:$A158)+1</f>
        <v>11</v>
      </c>
      <c r="B159" s="255" t="s">
        <v>530</v>
      </c>
      <c r="C159" s="560" t="s">
        <v>177</v>
      </c>
      <c r="D159" s="271" t="s">
        <v>101</v>
      </c>
      <c r="E159" s="390" t="s">
        <v>467</v>
      </c>
      <c r="F159" s="379" t="s">
        <v>213</v>
      </c>
      <c r="G159" s="395" t="s">
        <v>178</v>
      </c>
      <c r="H159" s="372"/>
      <c r="I159" s="374">
        <v>90000</v>
      </c>
      <c r="J159" s="374">
        <v>80000</v>
      </c>
      <c r="K159" s="373">
        <v>10000</v>
      </c>
      <c r="L159" s="78"/>
      <c r="M159" s="78"/>
      <c r="N159" s="78"/>
      <c r="O159" s="373">
        <v>10000</v>
      </c>
      <c r="P159" s="78"/>
      <c r="Q159" s="373"/>
      <c r="R159" s="386"/>
    </row>
    <row r="160" spans="1:18" ht="60" hidden="1" outlineLevel="2">
      <c r="A160" s="254">
        <f>MAX(A$149:$A159)+1</f>
        <v>12</v>
      </c>
      <c r="B160" s="255" t="s">
        <v>531</v>
      </c>
      <c r="C160" s="560" t="s">
        <v>177</v>
      </c>
      <c r="D160" s="271" t="s">
        <v>101</v>
      </c>
      <c r="E160" s="390" t="s">
        <v>354</v>
      </c>
      <c r="F160" s="379" t="s">
        <v>213</v>
      </c>
      <c r="G160" s="395" t="s">
        <v>330</v>
      </c>
      <c r="H160" s="372"/>
      <c r="I160" s="374">
        <v>90000</v>
      </c>
      <c r="J160" s="374">
        <v>80000</v>
      </c>
      <c r="K160" s="373">
        <v>10000</v>
      </c>
      <c r="L160" s="78"/>
      <c r="M160" s="78"/>
      <c r="N160" s="78"/>
      <c r="O160" s="373">
        <v>10000</v>
      </c>
      <c r="P160" s="78"/>
      <c r="Q160" s="373"/>
      <c r="R160" s="386"/>
    </row>
    <row r="161" spans="1:19" ht="60" hidden="1" outlineLevel="2">
      <c r="A161" s="254">
        <f>MAX(A$149:$A160)+1</f>
        <v>13</v>
      </c>
      <c r="B161" s="255" t="s">
        <v>532</v>
      </c>
      <c r="C161" s="560" t="s">
        <v>177</v>
      </c>
      <c r="D161" s="271" t="s">
        <v>101</v>
      </c>
      <c r="E161" s="390" t="s">
        <v>435</v>
      </c>
      <c r="F161" s="379" t="s">
        <v>213</v>
      </c>
      <c r="G161" s="395" t="s">
        <v>330</v>
      </c>
      <c r="H161" s="372"/>
      <c r="I161" s="374">
        <v>90000</v>
      </c>
      <c r="J161" s="374">
        <v>80000</v>
      </c>
      <c r="K161" s="373">
        <v>10000</v>
      </c>
      <c r="L161" s="78"/>
      <c r="M161" s="78"/>
      <c r="N161" s="78"/>
      <c r="O161" s="373">
        <v>10000</v>
      </c>
      <c r="P161" s="78"/>
      <c r="Q161" s="373"/>
      <c r="R161" s="386"/>
    </row>
    <row r="162" spans="1:19" s="297" customFormat="1" ht="18.75" customHeight="1" collapsed="1">
      <c r="A162" s="527" t="s">
        <v>839</v>
      </c>
      <c r="B162" s="298" t="s">
        <v>536</v>
      </c>
      <c r="C162" s="394"/>
      <c r="D162" s="343"/>
      <c r="E162" s="344"/>
      <c r="F162" s="344"/>
      <c r="G162" s="394"/>
      <c r="H162" s="343"/>
      <c r="I162" s="346">
        <f>I163</f>
        <v>947320.3</v>
      </c>
      <c r="J162" s="346">
        <f t="shared" ref="J162:Q162" si="19">J163</f>
        <v>330000</v>
      </c>
      <c r="K162" s="346">
        <f t="shared" si="19"/>
        <v>617320.30000000005</v>
      </c>
      <c r="L162" s="346">
        <f t="shared" si="19"/>
        <v>0</v>
      </c>
      <c r="M162" s="346">
        <f t="shared" si="19"/>
        <v>0</v>
      </c>
      <c r="N162" s="346">
        <f t="shared" si="19"/>
        <v>0</v>
      </c>
      <c r="O162" s="346">
        <f t="shared" si="19"/>
        <v>617320.30000000005</v>
      </c>
      <c r="P162" s="346">
        <f t="shared" si="19"/>
        <v>0</v>
      </c>
      <c r="Q162" s="346">
        <f t="shared" si="19"/>
        <v>0</v>
      </c>
      <c r="R162" s="344"/>
    </row>
    <row r="163" spans="1:19" s="297" customFormat="1" ht="28.5" hidden="1" outlineLevel="1" collapsed="1">
      <c r="A163" s="323"/>
      <c r="B163" s="281" t="s">
        <v>533</v>
      </c>
      <c r="C163" s="393"/>
      <c r="D163" s="324"/>
      <c r="E163" s="339"/>
      <c r="F163" s="339"/>
      <c r="G163" s="393"/>
      <c r="H163" s="324"/>
      <c r="I163" s="325">
        <f>SUM(I164:I176)</f>
        <v>947320.3</v>
      </c>
      <c r="J163" s="325">
        <f t="shared" ref="J163:Q163" si="20">SUM(J164:J176)</f>
        <v>330000</v>
      </c>
      <c r="K163" s="325">
        <f t="shared" si="20"/>
        <v>617320.30000000005</v>
      </c>
      <c r="L163" s="325">
        <f t="shared" si="20"/>
        <v>0</v>
      </c>
      <c r="M163" s="325">
        <f t="shared" si="20"/>
        <v>0</v>
      </c>
      <c r="N163" s="325">
        <f t="shared" si="20"/>
        <v>0</v>
      </c>
      <c r="O163" s="325">
        <f t="shared" si="20"/>
        <v>617320.30000000005</v>
      </c>
      <c r="P163" s="325">
        <f t="shared" si="20"/>
        <v>0</v>
      </c>
      <c r="Q163" s="325">
        <f t="shared" si="20"/>
        <v>0</v>
      </c>
      <c r="R163" s="387"/>
    </row>
    <row r="164" spans="1:19" ht="30" hidden="1" outlineLevel="2">
      <c r="A164" s="254">
        <v>1</v>
      </c>
      <c r="B164" s="255" t="s">
        <v>542</v>
      </c>
      <c r="C164" s="560" t="s">
        <v>538</v>
      </c>
      <c r="D164" s="271" t="s">
        <v>101</v>
      </c>
      <c r="E164" s="390" t="s">
        <v>556</v>
      </c>
      <c r="F164" s="379" t="s">
        <v>213</v>
      </c>
      <c r="G164" s="395" t="s">
        <v>300</v>
      </c>
      <c r="H164" s="372"/>
      <c r="I164" s="373">
        <f>J164+K164</f>
        <v>480000</v>
      </c>
      <c r="J164" s="373">
        <v>330000</v>
      </c>
      <c r="K164" s="373">
        <v>150000</v>
      </c>
      <c r="L164" s="78"/>
      <c r="M164" s="78"/>
      <c r="N164" s="78"/>
      <c r="O164" s="373">
        <v>150000</v>
      </c>
      <c r="P164" s="78"/>
      <c r="Q164" s="373"/>
      <c r="R164" s="534" t="s">
        <v>558</v>
      </c>
    </row>
    <row r="165" spans="1:19" ht="30" hidden="1" outlineLevel="2">
      <c r="A165" s="254">
        <f>MAX(A$164:$A164)+1</f>
        <v>2</v>
      </c>
      <c r="B165" s="255" t="s">
        <v>543</v>
      </c>
      <c r="C165" s="560" t="s">
        <v>538</v>
      </c>
      <c r="D165" s="271" t="s">
        <v>101</v>
      </c>
      <c r="E165" s="390" t="s">
        <v>231</v>
      </c>
      <c r="F165" s="379" t="s">
        <v>213</v>
      </c>
      <c r="G165" s="395" t="s">
        <v>211</v>
      </c>
      <c r="H165" s="372"/>
      <c r="I165" s="373">
        <f t="shared" ref="I165:I176" si="21">J165+K165</f>
        <v>180000</v>
      </c>
      <c r="J165" s="375"/>
      <c r="K165" s="373">
        <v>180000</v>
      </c>
      <c r="L165" s="78"/>
      <c r="M165" s="78"/>
      <c r="N165" s="78"/>
      <c r="O165" s="373">
        <v>180000</v>
      </c>
      <c r="P165" s="78"/>
      <c r="Q165" s="373"/>
      <c r="R165" s="313"/>
    </row>
    <row r="166" spans="1:19" ht="45" hidden="1" outlineLevel="2">
      <c r="A166" s="254">
        <f>MAX(A$164:$A165)+1</f>
        <v>3</v>
      </c>
      <c r="B166" s="255" t="s">
        <v>544</v>
      </c>
      <c r="C166" s="560" t="s">
        <v>538</v>
      </c>
      <c r="D166" s="271" t="s">
        <v>173</v>
      </c>
      <c r="E166" s="390" t="s">
        <v>556</v>
      </c>
      <c r="F166" s="379" t="s">
        <v>213</v>
      </c>
      <c r="G166" s="409" t="s">
        <v>513</v>
      </c>
      <c r="H166" s="372"/>
      <c r="I166" s="373">
        <f t="shared" si="21"/>
        <v>9370.7999999999993</v>
      </c>
      <c r="J166" s="375"/>
      <c r="K166" s="373">
        <v>9370.7999999999993</v>
      </c>
      <c r="L166" s="78"/>
      <c r="M166" s="78"/>
      <c r="N166" s="78"/>
      <c r="O166" s="373">
        <v>9370.7999999999993</v>
      </c>
      <c r="P166" s="78"/>
      <c r="Q166" s="373"/>
      <c r="R166" s="313"/>
    </row>
    <row r="167" spans="1:19" ht="45" hidden="1" outlineLevel="2">
      <c r="A167" s="254">
        <f>MAX(A$164:$A166)+1</f>
        <v>4</v>
      </c>
      <c r="B167" s="255" t="s">
        <v>545</v>
      </c>
      <c r="C167" s="560" t="s">
        <v>538</v>
      </c>
      <c r="D167" s="271" t="s">
        <v>173</v>
      </c>
      <c r="E167" s="390" t="s">
        <v>539</v>
      </c>
      <c r="F167" s="379" t="s">
        <v>213</v>
      </c>
      <c r="G167" s="409" t="s">
        <v>513</v>
      </c>
      <c r="H167" s="372"/>
      <c r="I167" s="373">
        <f t="shared" si="21"/>
        <v>10119.5</v>
      </c>
      <c r="J167" s="375"/>
      <c r="K167" s="373">
        <v>10119.5</v>
      </c>
      <c r="L167" s="78"/>
      <c r="M167" s="78"/>
      <c r="N167" s="78"/>
      <c r="O167" s="373">
        <v>10119.5</v>
      </c>
      <c r="P167" s="78"/>
      <c r="Q167" s="373"/>
      <c r="R167" s="313"/>
    </row>
    <row r="168" spans="1:19" ht="30" hidden="1" outlineLevel="2">
      <c r="A168" s="254">
        <f>MAX(A$164:$A167)+1</f>
        <v>5</v>
      </c>
      <c r="B168" s="255" t="s">
        <v>546</v>
      </c>
      <c r="C168" s="560" t="s">
        <v>538</v>
      </c>
      <c r="D168" s="271" t="s">
        <v>173</v>
      </c>
      <c r="E168" s="390" t="s">
        <v>556</v>
      </c>
      <c r="F168" s="379" t="s">
        <v>213</v>
      </c>
      <c r="G168" s="410">
        <v>2026</v>
      </c>
      <c r="H168" s="372"/>
      <c r="I168" s="373">
        <f t="shared" si="21"/>
        <v>13596</v>
      </c>
      <c r="J168" s="375"/>
      <c r="K168" s="373">
        <v>13596</v>
      </c>
      <c r="L168" s="78"/>
      <c r="M168" s="78"/>
      <c r="N168" s="78"/>
      <c r="O168" s="373">
        <v>13596</v>
      </c>
      <c r="P168" s="78"/>
      <c r="Q168" s="373"/>
      <c r="R168" s="313"/>
    </row>
    <row r="169" spans="1:19" ht="30" hidden="1" outlineLevel="2">
      <c r="A169" s="254">
        <f>MAX(A$164:$A168)+1</f>
        <v>6</v>
      </c>
      <c r="B169" s="255" t="s">
        <v>547</v>
      </c>
      <c r="C169" s="560" t="s">
        <v>540</v>
      </c>
      <c r="D169" s="271" t="s">
        <v>173</v>
      </c>
      <c r="E169" s="390" t="s">
        <v>217</v>
      </c>
      <c r="F169" s="379" t="s">
        <v>213</v>
      </c>
      <c r="G169" s="410">
        <v>2027</v>
      </c>
      <c r="H169" s="372"/>
      <c r="I169" s="373">
        <f t="shared" si="21"/>
        <v>13596</v>
      </c>
      <c r="J169" s="375"/>
      <c r="K169" s="373">
        <v>13596</v>
      </c>
      <c r="L169" s="78"/>
      <c r="M169" s="78"/>
      <c r="N169" s="78"/>
      <c r="O169" s="373">
        <v>13596</v>
      </c>
      <c r="P169" s="78"/>
      <c r="Q169" s="373"/>
      <c r="R169" s="313"/>
    </row>
    <row r="170" spans="1:19" ht="30" hidden="1" outlineLevel="2">
      <c r="A170" s="254">
        <f>MAX(A$164:$A169)+1</f>
        <v>7</v>
      </c>
      <c r="B170" s="255" t="s">
        <v>548</v>
      </c>
      <c r="C170" s="560" t="s">
        <v>538</v>
      </c>
      <c r="D170" s="271" t="s">
        <v>173</v>
      </c>
      <c r="E170" s="390" t="s">
        <v>270</v>
      </c>
      <c r="F170" s="379" t="s">
        <v>213</v>
      </c>
      <c r="G170" s="410">
        <v>2027</v>
      </c>
      <c r="H170" s="372"/>
      <c r="I170" s="373">
        <f t="shared" si="21"/>
        <v>13596</v>
      </c>
      <c r="J170" s="375"/>
      <c r="K170" s="373">
        <v>13596</v>
      </c>
      <c r="L170" s="78"/>
      <c r="M170" s="78"/>
      <c r="N170" s="78"/>
      <c r="O170" s="373">
        <v>13596</v>
      </c>
      <c r="P170" s="78"/>
      <c r="Q170" s="373"/>
      <c r="R170" s="313"/>
    </row>
    <row r="171" spans="1:19" ht="30" hidden="1" outlineLevel="2">
      <c r="A171" s="254">
        <f>MAX(A$164:$A170)+1</f>
        <v>8</v>
      </c>
      <c r="B171" s="255" t="s">
        <v>549</v>
      </c>
      <c r="C171" s="560" t="s">
        <v>538</v>
      </c>
      <c r="D171" s="271" t="s">
        <v>173</v>
      </c>
      <c r="E171" s="390" t="s">
        <v>556</v>
      </c>
      <c r="F171" s="379" t="s">
        <v>213</v>
      </c>
      <c r="G171" s="410">
        <v>2027</v>
      </c>
      <c r="H171" s="372"/>
      <c r="I171" s="373">
        <f t="shared" si="21"/>
        <v>5000</v>
      </c>
      <c r="J171" s="375"/>
      <c r="K171" s="373">
        <v>5000</v>
      </c>
      <c r="L171" s="78"/>
      <c r="M171" s="78"/>
      <c r="N171" s="78"/>
      <c r="O171" s="373">
        <v>5000</v>
      </c>
      <c r="P171" s="78"/>
      <c r="Q171" s="373"/>
      <c r="R171" s="313"/>
    </row>
    <row r="172" spans="1:19" ht="30" hidden="1" outlineLevel="2">
      <c r="A172" s="254">
        <f>MAX(A$164:$A171)+1</f>
        <v>9</v>
      </c>
      <c r="B172" s="255" t="s">
        <v>550</v>
      </c>
      <c r="C172" s="560" t="s">
        <v>538</v>
      </c>
      <c r="D172" s="271" t="s">
        <v>101</v>
      </c>
      <c r="E172" s="390" t="s">
        <v>270</v>
      </c>
      <c r="F172" s="379" t="s">
        <v>213</v>
      </c>
      <c r="G172" s="410" t="s">
        <v>211</v>
      </c>
      <c r="H172" s="372"/>
      <c r="I172" s="373">
        <f t="shared" si="21"/>
        <v>80000</v>
      </c>
      <c r="J172" s="375"/>
      <c r="K172" s="373">
        <v>80000</v>
      </c>
      <c r="L172" s="78"/>
      <c r="M172" s="78"/>
      <c r="N172" s="78"/>
      <c r="O172" s="373">
        <v>80000</v>
      </c>
      <c r="P172" s="78"/>
      <c r="Q172" s="373"/>
      <c r="R172" s="313"/>
    </row>
    <row r="173" spans="1:19" ht="30" hidden="1" outlineLevel="2">
      <c r="A173" s="254">
        <f>MAX(A$164:$A172)+1</f>
        <v>10</v>
      </c>
      <c r="B173" s="255" t="s">
        <v>551</v>
      </c>
      <c r="C173" s="560" t="s">
        <v>538</v>
      </c>
      <c r="D173" s="271" t="s">
        <v>173</v>
      </c>
      <c r="E173" s="390" t="s">
        <v>270</v>
      </c>
      <c r="F173" s="379" t="s">
        <v>213</v>
      </c>
      <c r="G173" s="410">
        <v>2028</v>
      </c>
      <c r="H173" s="372"/>
      <c r="I173" s="373">
        <f t="shared" si="21"/>
        <v>30000</v>
      </c>
      <c r="J173" s="375"/>
      <c r="K173" s="373">
        <v>30000</v>
      </c>
      <c r="L173" s="78"/>
      <c r="M173" s="78"/>
      <c r="N173" s="78"/>
      <c r="O173" s="373">
        <v>30000</v>
      </c>
      <c r="P173" s="78"/>
      <c r="Q173" s="373"/>
      <c r="R173" s="313"/>
    </row>
    <row r="174" spans="1:19" ht="30" hidden="1" outlineLevel="2">
      <c r="A174" s="254">
        <f>MAX(A$164:$A173)+1</f>
        <v>11</v>
      </c>
      <c r="B174" s="255" t="s">
        <v>554</v>
      </c>
      <c r="C174" s="560" t="s">
        <v>538</v>
      </c>
      <c r="D174" s="271" t="s">
        <v>101</v>
      </c>
      <c r="E174" s="390" t="s">
        <v>223</v>
      </c>
      <c r="F174" s="379" t="s">
        <v>213</v>
      </c>
      <c r="G174" s="410" t="s">
        <v>234</v>
      </c>
      <c r="H174" s="372"/>
      <c r="I174" s="373">
        <f t="shared" si="21"/>
        <v>50000</v>
      </c>
      <c r="J174" s="375"/>
      <c r="K174" s="373">
        <v>50000</v>
      </c>
      <c r="L174" s="78"/>
      <c r="M174" s="78"/>
      <c r="N174" s="78"/>
      <c r="O174" s="373">
        <v>50000</v>
      </c>
      <c r="P174" s="78"/>
      <c r="Q174" s="373"/>
      <c r="R174" s="313"/>
    </row>
    <row r="175" spans="1:19" ht="30" hidden="1" outlineLevel="2">
      <c r="A175" s="254">
        <f>MAX(A$164:$A174)+1</f>
        <v>12</v>
      </c>
      <c r="B175" s="255" t="s">
        <v>553</v>
      </c>
      <c r="C175" s="560" t="s">
        <v>541</v>
      </c>
      <c r="D175" s="271" t="s">
        <v>101</v>
      </c>
      <c r="E175" s="390" t="s">
        <v>557</v>
      </c>
      <c r="F175" s="379"/>
      <c r="G175" s="410" t="s">
        <v>300</v>
      </c>
      <c r="H175" s="372"/>
      <c r="I175" s="373">
        <f t="shared" si="21"/>
        <v>53642</v>
      </c>
      <c r="J175" s="375"/>
      <c r="K175" s="373">
        <v>53642</v>
      </c>
      <c r="L175" s="78"/>
      <c r="M175" s="78"/>
      <c r="N175" s="78"/>
      <c r="O175" s="373">
        <v>53642</v>
      </c>
      <c r="P175" s="78"/>
      <c r="Q175" s="373"/>
      <c r="R175" s="313"/>
    </row>
    <row r="176" spans="1:19" s="421" customFormat="1" ht="45" hidden="1" outlineLevel="2">
      <c r="A176" s="254">
        <f>MAX(A$164:$A175)+1</f>
        <v>13</v>
      </c>
      <c r="B176" s="412" t="s">
        <v>552</v>
      </c>
      <c r="C176" s="561" t="s">
        <v>538</v>
      </c>
      <c r="D176" s="272" t="s">
        <v>173</v>
      </c>
      <c r="E176" s="390" t="s">
        <v>556</v>
      </c>
      <c r="F176" s="413"/>
      <c r="G176" s="414" t="s">
        <v>300</v>
      </c>
      <c r="H176" s="415"/>
      <c r="I176" s="373">
        <f t="shared" si="21"/>
        <v>8400</v>
      </c>
      <c r="J176" s="416"/>
      <c r="K176" s="417">
        <v>8400</v>
      </c>
      <c r="L176" s="418"/>
      <c r="M176" s="418"/>
      <c r="N176" s="418"/>
      <c r="O176" s="373">
        <v>8400</v>
      </c>
      <c r="P176" s="418"/>
      <c r="Q176" s="417"/>
      <c r="R176" s="419"/>
      <c r="S176" s="420" t="s">
        <v>555</v>
      </c>
    </row>
    <row r="177" spans="1:19" s="297" customFormat="1" ht="19.899999999999999" customHeight="1" collapsed="1">
      <c r="A177" s="527" t="s">
        <v>840</v>
      </c>
      <c r="B177" s="298" t="s">
        <v>559</v>
      </c>
      <c r="C177" s="394"/>
      <c r="D177" s="343"/>
      <c r="E177" s="344"/>
      <c r="F177" s="344"/>
      <c r="G177" s="394"/>
      <c r="H177" s="343"/>
      <c r="I177" s="346">
        <f>+I178</f>
        <v>167300</v>
      </c>
      <c r="J177" s="346">
        <f t="shared" ref="J177:Q177" si="22">+J178</f>
        <v>35000</v>
      </c>
      <c r="K177" s="346">
        <f t="shared" si="22"/>
        <v>132300</v>
      </c>
      <c r="L177" s="346">
        <f t="shared" si="22"/>
        <v>0</v>
      </c>
      <c r="M177" s="346">
        <f t="shared" si="22"/>
        <v>0</v>
      </c>
      <c r="N177" s="346">
        <f t="shared" si="22"/>
        <v>0</v>
      </c>
      <c r="O177" s="346">
        <f t="shared" si="22"/>
        <v>132300</v>
      </c>
      <c r="P177" s="346">
        <f t="shared" si="22"/>
        <v>0</v>
      </c>
      <c r="Q177" s="346">
        <f t="shared" si="22"/>
        <v>0</v>
      </c>
      <c r="R177" s="344"/>
    </row>
    <row r="178" spans="1:19" s="297" customFormat="1" ht="28.5" hidden="1" outlineLevel="1" collapsed="1">
      <c r="A178" s="323"/>
      <c r="B178" s="281" t="s">
        <v>533</v>
      </c>
      <c r="C178" s="393"/>
      <c r="D178" s="324"/>
      <c r="E178" s="339"/>
      <c r="F178" s="339"/>
      <c r="G178" s="393"/>
      <c r="H178" s="324"/>
      <c r="I178" s="325">
        <f>SUM(I179:I186)</f>
        <v>167300</v>
      </c>
      <c r="J178" s="325">
        <f t="shared" ref="J178:Q178" si="23">SUM(J179:J186)</f>
        <v>35000</v>
      </c>
      <c r="K178" s="325">
        <f t="shared" si="23"/>
        <v>132300</v>
      </c>
      <c r="L178" s="325">
        <f t="shared" si="23"/>
        <v>0</v>
      </c>
      <c r="M178" s="325">
        <f t="shared" si="23"/>
        <v>0</v>
      </c>
      <c r="N178" s="325">
        <f t="shared" si="23"/>
        <v>0</v>
      </c>
      <c r="O178" s="325">
        <f t="shared" si="23"/>
        <v>132300</v>
      </c>
      <c r="P178" s="325">
        <f t="shared" si="23"/>
        <v>0</v>
      </c>
      <c r="Q178" s="325">
        <f t="shared" si="23"/>
        <v>0</v>
      </c>
      <c r="R178" s="387"/>
    </row>
    <row r="179" spans="1:19" ht="30" hidden="1" outlineLevel="2">
      <c r="A179" s="254">
        <v>1</v>
      </c>
      <c r="B179" s="255" t="s">
        <v>565</v>
      </c>
      <c r="C179" s="560" t="s">
        <v>559</v>
      </c>
      <c r="D179" s="271" t="s">
        <v>173</v>
      </c>
      <c r="E179" s="390" t="s">
        <v>467</v>
      </c>
      <c r="F179" s="379"/>
      <c r="G179" s="410" t="s">
        <v>330</v>
      </c>
      <c r="H179" s="372"/>
      <c r="I179" s="373">
        <v>35000</v>
      </c>
      <c r="J179" s="375"/>
      <c r="K179" s="373">
        <v>35000</v>
      </c>
      <c r="L179" s="78"/>
      <c r="M179" s="78"/>
      <c r="N179" s="78"/>
      <c r="O179" s="373">
        <v>35000</v>
      </c>
      <c r="P179" s="78"/>
      <c r="Q179" s="373"/>
      <c r="R179" s="313"/>
    </row>
    <row r="180" spans="1:19" ht="30" hidden="1" outlineLevel="2">
      <c r="A180" s="254">
        <f>MAX(A$179:$A179)+1</f>
        <v>2</v>
      </c>
      <c r="B180" s="255" t="s">
        <v>566</v>
      </c>
      <c r="C180" s="560" t="s">
        <v>559</v>
      </c>
      <c r="D180" s="271" t="s">
        <v>173</v>
      </c>
      <c r="E180" s="390" t="s">
        <v>209</v>
      </c>
      <c r="F180" s="379"/>
      <c r="G180" s="410">
        <v>2026</v>
      </c>
      <c r="H180" s="372"/>
      <c r="I180" s="373">
        <v>10000</v>
      </c>
      <c r="J180" s="375"/>
      <c r="K180" s="373">
        <v>10000</v>
      </c>
      <c r="L180" s="78"/>
      <c r="M180" s="78"/>
      <c r="N180" s="78"/>
      <c r="O180" s="373">
        <v>10000</v>
      </c>
      <c r="P180" s="78"/>
      <c r="Q180" s="373"/>
      <c r="R180" s="313"/>
    </row>
    <row r="181" spans="1:19" ht="45" hidden="1" outlineLevel="2">
      <c r="A181" s="254">
        <f>MAX(A$179:$A180)+1</f>
        <v>3</v>
      </c>
      <c r="B181" s="255" t="s">
        <v>567</v>
      </c>
      <c r="C181" s="560" t="s">
        <v>559</v>
      </c>
      <c r="D181" s="271" t="s">
        <v>173</v>
      </c>
      <c r="E181" s="390" t="s">
        <v>561</v>
      </c>
      <c r="F181" s="379"/>
      <c r="G181" s="410">
        <v>2027</v>
      </c>
      <c r="H181" s="372"/>
      <c r="I181" s="373">
        <v>8500</v>
      </c>
      <c r="J181" s="375"/>
      <c r="K181" s="373">
        <v>8500</v>
      </c>
      <c r="L181" s="78"/>
      <c r="M181" s="78"/>
      <c r="N181" s="78"/>
      <c r="O181" s="373">
        <v>8500</v>
      </c>
      <c r="P181" s="78"/>
      <c r="Q181" s="373"/>
      <c r="R181" s="313"/>
    </row>
    <row r="182" spans="1:19" ht="38.25" hidden="1" outlineLevel="2">
      <c r="A182" s="254">
        <f>MAX(A$179:$A181)+1</f>
        <v>4</v>
      </c>
      <c r="B182" s="255" t="s">
        <v>568</v>
      </c>
      <c r="C182" s="560" t="s">
        <v>559</v>
      </c>
      <c r="D182" s="271" t="s">
        <v>173</v>
      </c>
      <c r="E182" s="390" t="s">
        <v>561</v>
      </c>
      <c r="F182" s="379"/>
      <c r="G182" s="410" t="s">
        <v>444</v>
      </c>
      <c r="H182" s="372"/>
      <c r="I182" s="373">
        <v>70000</v>
      </c>
      <c r="J182" s="373">
        <f>I182-K182</f>
        <v>35000</v>
      </c>
      <c r="K182" s="373">
        <v>35000</v>
      </c>
      <c r="L182" s="78"/>
      <c r="M182" s="78"/>
      <c r="N182" s="78"/>
      <c r="O182" s="373">
        <v>35000</v>
      </c>
      <c r="P182" s="78"/>
      <c r="Q182" s="373"/>
      <c r="R182" s="534" t="s">
        <v>562</v>
      </c>
    </row>
    <row r="183" spans="1:19" ht="30" hidden="1" outlineLevel="2">
      <c r="A183" s="254">
        <f>MAX(A$179:$A182)+1</f>
        <v>5</v>
      </c>
      <c r="B183" s="255" t="s">
        <v>569</v>
      </c>
      <c r="C183" s="560" t="s">
        <v>559</v>
      </c>
      <c r="D183" s="271" t="s">
        <v>173</v>
      </c>
      <c r="E183" s="390" t="s">
        <v>249</v>
      </c>
      <c r="F183" s="379"/>
      <c r="G183" s="410" t="s">
        <v>563</v>
      </c>
      <c r="H183" s="372"/>
      <c r="I183" s="373">
        <v>30000</v>
      </c>
      <c r="J183" s="375"/>
      <c r="K183" s="373">
        <v>30000</v>
      </c>
      <c r="L183" s="78"/>
      <c r="M183" s="78"/>
      <c r="N183" s="78"/>
      <c r="O183" s="373">
        <v>30000</v>
      </c>
      <c r="P183" s="78"/>
      <c r="Q183" s="373"/>
      <c r="R183" s="313"/>
    </row>
    <row r="184" spans="1:19" s="421" customFormat="1" ht="75" hidden="1" outlineLevel="2">
      <c r="A184" s="411">
        <f>MAX(A$179:$A183)+1</f>
        <v>6</v>
      </c>
      <c r="B184" s="412" t="s">
        <v>570</v>
      </c>
      <c r="C184" s="561" t="s">
        <v>559</v>
      </c>
      <c r="D184" s="272" t="s">
        <v>173</v>
      </c>
      <c r="E184" s="422" t="s">
        <v>0</v>
      </c>
      <c r="F184" s="413"/>
      <c r="G184" s="414" t="s">
        <v>563</v>
      </c>
      <c r="H184" s="415"/>
      <c r="I184" s="417">
        <v>2300</v>
      </c>
      <c r="J184" s="416"/>
      <c r="K184" s="417">
        <v>2300</v>
      </c>
      <c r="L184" s="418"/>
      <c r="M184" s="418"/>
      <c r="N184" s="418"/>
      <c r="O184" s="417">
        <v>2300</v>
      </c>
      <c r="P184" s="418"/>
      <c r="Q184" s="417"/>
      <c r="R184" s="419"/>
      <c r="S184" s="420" t="s">
        <v>555</v>
      </c>
    </row>
    <row r="185" spans="1:19" ht="30" hidden="1" outlineLevel="2">
      <c r="A185" s="254">
        <f>MAX(A$179:$A184)+1</f>
        <v>7</v>
      </c>
      <c r="B185" s="255" t="s">
        <v>571</v>
      </c>
      <c r="C185" s="560" t="s">
        <v>559</v>
      </c>
      <c r="D185" s="271" t="s">
        <v>173</v>
      </c>
      <c r="E185" s="390" t="s">
        <v>560</v>
      </c>
      <c r="F185" s="379"/>
      <c r="G185" s="410">
        <v>2030</v>
      </c>
      <c r="H185" s="372"/>
      <c r="I185" s="373">
        <v>3000</v>
      </c>
      <c r="J185" s="375"/>
      <c r="K185" s="373">
        <v>3000</v>
      </c>
      <c r="L185" s="78"/>
      <c r="M185" s="78"/>
      <c r="N185" s="78"/>
      <c r="O185" s="373">
        <v>3000</v>
      </c>
      <c r="P185" s="78"/>
      <c r="Q185" s="373"/>
      <c r="R185" s="313"/>
    </row>
    <row r="186" spans="1:19" ht="45" hidden="1" outlineLevel="2">
      <c r="A186" s="254">
        <f>MAX(A$179:$A185)+1</f>
        <v>8</v>
      </c>
      <c r="B186" s="255" t="s">
        <v>572</v>
      </c>
      <c r="C186" s="560" t="s">
        <v>559</v>
      </c>
      <c r="D186" s="271" t="s">
        <v>173</v>
      </c>
      <c r="E186" s="390" t="s">
        <v>564</v>
      </c>
      <c r="F186" s="379"/>
      <c r="G186" s="410">
        <v>2030</v>
      </c>
      <c r="H186" s="372"/>
      <c r="I186" s="373">
        <v>8500</v>
      </c>
      <c r="J186" s="375"/>
      <c r="K186" s="373">
        <v>8500</v>
      </c>
      <c r="L186" s="78"/>
      <c r="M186" s="78"/>
      <c r="N186" s="78"/>
      <c r="O186" s="373">
        <v>8500</v>
      </c>
      <c r="P186" s="78"/>
      <c r="Q186" s="373"/>
      <c r="R186" s="313"/>
    </row>
    <row r="187" spans="1:19" s="297" customFormat="1" ht="19.899999999999999" customHeight="1" collapsed="1">
      <c r="A187" s="527" t="s">
        <v>841</v>
      </c>
      <c r="B187" s="298" t="s">
        <v>616</v>
      </c>
      <c r="C187" s="394"/>
      <c r="D187" s="343"/>
      <c r="E187" s="344"/>
      <c r="F187" s="344"/>
      <c r="G187" s="394"/>
      <c r="H187" s="343"/>
      <c r="I187" s="346">
        <f>I189</f>
        <v>253000</v>
      </c>
      <c r="J187" s="346">
        <f>J189</f>
        <v>0</v>
      </c>
      <c r="K187" s="346">
        <f t="shared" ref="K187:Q187" si="24">K189</f>
        <v>253000</v>
      </c>
      <c r="L187" s="346">
        <f t="shared" si="24"/>
        <v>110</v>
      </c>
      <c r="M187" s="346">
        <f t="shared" si="24"/>
        <v>0</v>
      </c>
      <c r="N187" s="346">
        <f t="shared" si="24"/>
        <v>110</v>
      </c>
      <c r="O187" s="346">
        <f t="shared" si="24"/>
        <v>252990</v>
      </c>
      <c r="P187" s="346">
        <f t="shared" si="24"/>
        <v>0</v>
      </c>
      <c r="Q187" s="346">
        <f t="shared" si="24"/>
        <v>0</v>
      </c>
      <c r="R187" s="344"/>
    </row>
    <row r="188" spans="1:19" s="297" customFormat="1" hidden="1" outlineLevel="1" collapsed="1">
      <c r="A188" s="323"/>
      <c r="B188" s="281"/>
      <c r="C188" s="393"/>
      <c r="D188" s="324"/>
      <c r="E188" s="339"/>
      <c r="F188" s="339"/>
      <c r="G188" s="393"/>
      <c r="H188" s="324"/>
      <c r="I188" s="325"/>
      <c r="J188" s="325"/>
      <c r="K188" s="325"/>
      <c r="L188" s="325"/>
      <c r="M188" s="325"/>
      <c r="N188" s="325"/>
      <c r="O188" s="325"/>
      <c r="P188" s="325"/>
      <c r="Q188" s="325"/>
      <c r="R188" s="387"/>
    </row>
    <row r="189" spans="1:19" s="297" customFormat="1" ht="45" hidden="1" outlineLevel="2">
      <c r="A189" s="293"/>
      <c r="B189" s="255" t="s">
        <v>617</v>
      </c>
      <c r="C189" s="260" t="s">
        <v>616</v>
      </c>
      <c r="D189" s="293" t="s">
        <v>101</v>
      </c>
      <c r="E189" s="390" t="s">
        <v>534</v>
      </c>
      <c r="F189" s="337"/>
      <c r="G189" s="494" t="s">
        <v>182</v>
      </c>
      <c r="H189" s="486" t="s">
        <v>183</v>
      </c>
      <c r="I189" s="495">
        <v>253000</v>
      </c>
      <c r="J189" s="294"/>
      <c r="K189" s="495">
        <v>253000</v>
      </c>
      <c r="L189" s="294">
        <v>110</v>
      </c>
      <c r="M189" s="294"/>
      <c r="N189" s="294">
        <v>110</v>
      </c>
      <c r="O189" s="294">
        <v>252990</v>
      </c>
      <c r="P189" s="294"/>
      <c r="Q189" s="294"/>
      <c r="R189" s="489"/>
      <c r="S189" s="489"/>
    </row>
    <row r="190" spans="1:19" s="297" customFormat="1" ht="19.899999999999999" customHeight="1" collapsed="1">
      <c r="A190" s="527" t="s">
        <v>842</v>
      </c>
      <c r="B190" s="298" t="s">
        <v>618</v>
      </c>
      <c r="C190" s="394"/>
      <c r="D190" s="343"/>
      <c r="E190" s="344"/>
      <c r="F190" s="344"/>
      <c r="G190" s="394"/>
      <c r="H190" s="343"/>
      <c r="I190" s="346">
        <f>I192</f>
        <v>10000</v>
      </c>
      <c r="J190" s="346">
        <f t="shared" ref="J190:Q190" si="25">J192</f>
        <v>0</v>
      </c>
      <c r="K190" s="346">
        <f t="shared" si="25"/>
        <v>10000</v>
      </c>
      <c r="L190" s="346">
        <f t="shared" si="25"/>
        <v>0</v>
      </c>
      <c r="M190" s="346">
        <f t="shared" si="25"/>
        <v>0</v>
      </c>
      <c r="N190" s="346">
        <f t="shared" si="25"/>
        <v>0</v>
      </c>
      <c r="O190" s="346">
        <f t="shared" si="25"/>
        <v>10000</v>
      </c>
      <c r="P190" s="346">
        <f t="shared" si="25"/>
        <v>0</v>
      </c>
      <c r="Q190" s="346">
        <f t="shared" si="25"/>
        <v>0</v>
      </c>
      <c r="R190" s="344"/>
    </row>
    <row r="191" spans="1:19" s="297" customFormat="1" hidden="1" outlineLevel="1" collapsed="1">
      <c r="A191" s="323"/>
      <c r="B191" s="281"/>
      <c r="C191" s="393"/>
      <c r="D191" s="324"/>
      <c r="E191" s="339"/>
      <c r="F191" s="339"/>
      <c r="G191" s="393"/>
      <c r="H191" s="324"/>
      <c r="I191" s="325"/>
      <c r="J191" s="325"/>
      <c r="K191" s="325"/>
      <c r="L191" s="325"/>
      <c r="M191" s="325"/>
      <c r="N191" s="325"/>
      <c r="O191" s="325"/>
      <c r="P191" s="325"/>
      <c r="Q191" s="325"/>
      <c r="R191" s="387"/>
    </row>
    <row r="192" spans="1:19" ht="30" hidden="1" outlineLevel="2">
      <c r="A192" s="293"/>
      <c r="B192" s="255" t="s">
        <v>619</v>
      </c>
      <c r="C192" s="260"/>
      <c r="D192" s="293" t="s">
        <v>173</v>
      </c>
      <c r="E192" s="564" t="s">
        <v>209</v>
      </c>
      <c r="F192" s="337"/>
      <c r="G192" s="494" t="s">
        <v>212</v>
      </c>
      <c r="H192" s="486"/>
      <c r="I192" s="487">
        <v>10000</v>
      </c>
      <c r="J192" s="488"/>
      <c r="K192" s="487">
        <v>10000</v>
      </c>
      <c r="L192" s="488"/>
      <c r="M192" s="488"/>
      <c r="N192" s="488"/>
      <c r="O192" s="488">
        <v>10000</v>
      </c>
      <c r="P192" s="488"/>
      <c r="Q192" s="488"/>
      <c r="R192" s="489"/>
      <c r="S192" s="489"/>
    </row>
    <row r="193" spans="1:18" s="297" customFormat="1" ht="19.899999999999999" customHeight="1" collapsed="1">
      <c r="A193" s="527" t="s">
        <v>843</v>
      </c>
      <c r="B193" s="298" t="s">
        <v>184</v>
      </c>
      <c r="C193" s="394"/>
      <c r="D193" s="343"/>
      <c r="E193" s="344"/>
      <c r="F193" s="344"/>
      <c r="G193" s="394"/>
      <c r="H193" s="343"/>
      <c r="I193" s="346">
        <f>I195+I196+I197</f>
        <v>250000</v>
      </c>
      <c r="J193" s="346">
        <f t="shared" ref="J193:Q193" si="26">J195+J196+J197</f>
        <v>0</v>
      </c>
      <c r="K193" s="346">
        <f t="shared" si="26"/>
        <v>250000</v>
      </c>
      <c r="L193" s="346">
        <f t="shared" si="26"/>
        <v>0</v>
      </c>
      <c r="M193" s="346">
        <f t="shared" si="26"/>
        <v>0</v>
      </c>
      <c r="N193" s="346">
        <f t="shared" si="26"/>
        <v>0</v>
      </c>
      <c r="O193" s="346">
        <f t="shared" si="26"/>
        <v>250000</v>
      </c>
      <c r="P193" s="346">
        <f t="shared" si="26"/>
        <v>0</v>
      </c>
      <c r="Q193" s="346">
        <f t="shared" si="26"/>
        <v>0</v>
      </c>
      <c r="R193" s="344"/>
    </row>
    <row r="194" spans="1:18" s="297" customFormat="1" hidden="1" outlineLevel="1" collapsed="1">
      <c r="A194" s="323"/>
      <c r="B194" s="281"/>
      <c r="C194" s="393"/>
      <c r="D194" s="324"/>
      <c r="E194" s="339"/>
      <c r="F194" s="339"/>
      <c r="G194" s="393"/>
      <c r="H194" s="324"/>
      <c r="I194" s="325"/>
      <c r="J194" s="325"/>
      <c r="K194" s="325"/>
      <c r="L194" s="325"/>
      <c r="M194" s="325"/>
      <c r="N194" s="325"/>
      <c r="O194" s="325"/>
      <c r="P194" s="325"/>
      <c r="Q194" s="325"/>
      <c r="R194" s="387"/>
    </row>
    <row r="195" spans="1:18" ht="45" hidden="1" outlineLevel="2">
      <c r="A195" s="293"/>
      <c r="B195" s="490" t="s">
        <v>620</v>
      </c>
      <c r="C195" s="562" t="s">
        <v>184</v>
      </c>
      <c r="D195" s="491" t="s">
        <v>173</v>
      </c>
      <c r="E195" s="565"/>
      <c r="F195" s="337"/>
      <c r="G195" s="263" t="s">
        <v>300</v>
      </c>
      <c r="H195" s="293"/>
      <c r="I195" s="488">
        <v>100000</v>
      </c>
      <c r="J195" s="488"/>
      <c r="K195" s="488">
        <v>100000</v>
      </c>
      <c r="L195" s="488"/>
      <c r="M195" s="488"/>
      <c r="N195" s="488"/>
      <c r="O195" s="488">
        <v>100000</v>
      </c>
      <c r="P195" s="488"/>
      <c r="Q195" s="488"/>
      <c r="R195" s="486"/>
    </row>
    <row r="196" spans="1:18" ht="45" hidden="1" outlineLevel="2">
      <c r="A196" s="293"/>
      <c r="B196" s="492" t="s">
        <v>621</v>
      </c>
      <c r="C196" s="562" t="s">
        <v>184</v>
      </c>
      <c r="D196" s="491" t="s">
        <v>173</v>
      </c>
      <c r="E196" s="565"/>
      <c r="F196" s="337"/>
      <c r="G196" s="263" t="s">
        <v>212</v>
      </c>
      <c r="H196" s="293"/>
      <c r="I196" s="488">
        <v>80000</v>
      </c>
      <c r="J196" s="488"/>
      <c r="K196" s="488">
        <v>80000</v>
      </c>
      <c r="L196" s="488"/>
      <c r="M196" s="488"/>
      <c r="N196" s="488"/>
      <c r="O196" s="488">
        <v>80000</v>
      </c>
      <c r="P196" s="488"/>
      <c r="Q196" s="488"/>
      <c r="R196" s="486"/>
    </row>
    <row r="197" spans="1:18" ht="75" hidden="1" outlineLevel="2">
      <c r="A197" s="293"/>
      <c r="B197" s="492" t="s">
        <v>622</v>
      </c>
      <c r="C197" s="562" t="s">
        <v>184</v>
      </c>
      <c r="D197" s="491" t="s">
        <v>173</v>
      </c>
      <c r="E197" s="565"/>
      <c r="F197" s="337"/>
      <c r="G197" s="263" t="s">
        <v>212</v>
      </c>
      <c r="H197" s="293"/>
      <c r="I197" s="488">
        <v>70000</v>
      </c>
      <c r="J197" s="488"/>
      <c r="K197" s="488">
        <v>70000</v>
      </c>
      <c r="L197" s="488"/>
      <c r="M197" s="488"/>
      <c r="N197" s="488"/>
      <c r="O197" s="488">
        <v>70000</v>
      </c>
      <c r="P197" s="488"/>
      <c r="Q197" s="488"/>
      <c r="R197" s="486"/>
    </row>
    <row r="198" spans="1:18" s="297" customFormat="1" ht="28.5" collapsed="1">
      <c r="A198" s="527" t="s">
        <v>844</v>
      </c>
      <c r="B198" s="298" t="s">
        <v>623</v>
      </c>
      <c r="C198" s="394"/>
      <c r="D198" s="343"/>
      <c r="E198" s="344"/>
      <c r="F198" s="344"/>
      <c r="G198" s="394"/>
      <c r="H198" s="343"/>
      <c r="I198" s="346">
        <f>I200</f>
        <v>130000</v>
      </c>
      <c r="J198" s="346">
        <f t="shared" ref="J198:Q198" si="27">J200</f>
        <v>100000</v>
      </c>
      <c r="K198" s="346">
        <f t="shared" si="27"/>
        <v>30000</v>
      </c>
      <c r="L198" s="346">
        <f t="shared" si="27"/>
        <v>0</v>
      </c>
      <c r="M198" s="346">
        <f t="shared" si="27"/>
        <v>0</v>
      </c>
      <c r="N198" s="346">
        <f t="shared" si="27"/>
        <v>0</v>
      </c>
      <c r="O198" s="346">
        <f t="shared" si="27"/>
        <v>30000</v>
      </c>
      <c r="P198" s="346">
        <f t="shared" si="27"/>
        <v>0</v>
      </c>
      <c r="Q198" s="346">
        <f t="shared" si="27"/>
        <v>0</v>
      </c>
      <c r="R198" s="344"/>
    </row>
    <row r="199" spans="1:18" s="297" customFormat="1" hidden="1" outlineLevel="1" collapsed="1">
      <c r="A199" s="323"/>
      <c r="B199" s="281"/>
      <c r="C199" s="393"/>
      <c r="D199" s="324"/>
      <c r="E199" s="339"/>
      <c r="F199" s="339"/>
      <c r="G199" s="393"/>
      <c r="H199" s="324"/>
      <c r="I199" s="325"/>
      <c r="J199" s="325"/>
      <c r="K199" s="325"/>
      <c r="L199" s="325"/>
      <c r="M199" s="325"/>
      <c r="N199" s="325"/>
      <c r="O199" s="325"/>
      <c r="P199" s="325"/>
      <c r="Q199" s="325"/>
      <c r="R199" s="387"/>
    </row>
    <row r="200" spans="1:18" ht="48" hidden="1" outlineLevel="2">
      <c r="A200" s="293"/>
      <c r="B200" s="255" t="s">
        <v>624</v>
      </c>
      <c r="C200" s="263" t="s">
        <v>625</v>
      </c>
      <c r="D200" s="293" t="s">
        <v>173</v>
      </c>
      <c r="E200" s="337" t="s">
        <v>626</v>
      </c>
      <c r="F200" s="337" t="s">
        <v>627</v>
      </c>
      <c r="G200" s="263" t="s">
        <v>211</v>
      </c>
      <c r="H200" s="293"/>
      <c r="I200" s="488">
        <v>130000</v>
      </c>
      <c r="J200" s="488">
        <v>100000</v>
      </c>
      <c r="K200" s="488">
        <v>30000</v>
      </c>
      <c r="L200" s="488"/>
      <c r="M200" s="488"/>
      <c r="N200" s="488"/>
      <c r="O200" s="488">
        <v>30000</v>
      </c>
      <c r="P200" s="488"/>
      <c r="Q200" s="488"/>
      <c r="R200" s="486" t="s">
        <v>628</v>
      </c>
    </row>
    <row r="201" spans="1:18" s="297" customFormat="1" ht="28.5" collapsed="1">
      <c r="A201" s="527" t="s">
        <v>845</v>
      </c>
      <c r="B201" s="298" t="s">
        <v>629</v>
      </c>
      <c r="C201" s="394"/>
      <c r="D201" s="343"/>
      <c r="E201" s="344"/>
      <c r="F201" s="344"/>
      <c r="G201" s="394"/>
      <c r="H201" s="343"/>
      <c r="I201" s="346">
        <f>SUM(I203:I212)</f>
        <v>190000</v>
      </c>
      <c r="J201" s="346">
        <f t="shared" ref="J201:Q201" si="28">SUM(J203:J212)</f>
        <v>0</v>
      </c>
      <c r="K201" s="346">
        <f t="shared" si="28"/>
        <v>190000</v>
      </c>
      <c r="L201" s="346">
        <f t="shared" si="28"/>
        <v>0</v>
      </c>
      <c r="M201" s="346">
        <f t="shared" si="28"/>
        <v>0</v>
      </c>
      <c r="N201" s="346">
        <f t="shared" si="28"/>
        <v>0</v>
      </c>
      <c r="O201" s="346">
        <f>SUM(O203:O212)</f>
        <v>190000</v>
      </c>
      <c r="P201" s="346">
        <f t="shared" si="28"/>
        <v>0</v>
      </c>
      <c r="Q201" s="346">
        <f t="shared" si="28"/>
        <v>0</v>
      </c>
      <c r="R201" s="344"/>
    </row>
    <row r="202" spans="1:18" s="297" customFormat="1" hidden="1" outlineLevel="1" collapsed="1">
      <c r="A202" s="323"/>
      <c r="B202" s="281"/>
      <c r="C202" s="393"/>
      <c r="D202" s="324"/>
      <c r="E202" s="339"/>
      <c r="F202" s="339"/>
      <c r="G202" s="393"/>
      <c r="H202" s="324"/>
      <c r="I202" s="325"/>
      <c r="J202" s="325"/>
      <c r="K202" s="325"/>
      <c r="L202" s="325"/>
      <c r="M202" s="325"/>
      <c r="N202" s="325"/>
      <c r="O202" s="325"/>
      <c r="P202" s="325"/>
      <c r="Q202" s="325"/>
      <c r="R202" s="387"/>
    </row>
    <row r="203" spans="1:18" ht="45" hidden="1" outlineLevel="2">
      <c r="A203" s="293"/>
      <c r="B203" s="492" t="s">
        <v>630</v>
      </c>
      <c r="C203" s="263" t="s">
        <v>629</v>
      </c>
      <c r="D203" s="293" t="s">
        <v>173</v>
      </c>
      <c r="E203" s="337"/>
      <c r="F203" s="337"/>
      <c r="G203" s="263" t="s">
        <v>212</v>
      </c>
      <c r="H203" s="293"/>
      <c r="I203" s="493">
        <v>20000</v>
      </c>
      <c r="J203" s="488"/>
      <c r="K203" s="493">
        <v>20000</v>
      </c>
      <c r="L203" s="488"/>
      <c r="M203" s="488"/>
      <c r="N203" s="488"/>
      <c r="O203" s="493">
        <v>20000</v>
      </c>
      <c r="P203" s="488"/>
      <c r="Q203" s="493"/>
      <c r="R203" s="486"/>
    </row>
    <row r="204" spans="1:18" ht="60" hidden="1" outlineLevel="2">
      <c r="A204" s="293"/>
      <c r="B204" s="492" t="s">
        <v>631</v>
      </c>
      <c r="C204" s="263" t="s">
        <v>629</v>
      </c>
      <c r="D204" s="293" t="s">
        <v>173</v>
      </c>
      <c r="E204" s="337"/>
      <c r="F204" s="337"/>
      <c r="G204" s="263" t="s">
        <v>212</v>
      </c>
      <c r="H204" s="293"/>
      <c r="I204" s="493">
        <v>16000</v>
      </c>
      <c r="J204" s="488"/>
      <c r="K204" s="493">
        <v>16000</v>
      </c>
      <c r="L204" s="488"/>
      <c r="M204" s="488"/>
      <c r="N204" s="488"/>
      <c r="O204" s="493">
        <v>16000</v>
      </c>
      <c r="P204" s="488"/>
      <c r="Q204" s="493"/>
      <c r="R204" s="486"/>
    </row>
    <row r="205" spans="1:18" ht="38.25" hidden="1" outlineLevel="2">
      <c r="A205" s="293"/>
      <c r="B205" s="492" t="s">
        <v>632</v>
      </c>
      <c r="C205" s="263" t="s">
        <v>629</v>
      </c>
      <c r="D205" s="293" t="s">
        <v>173</v>
      </c>
      <c r="E205" s="337"/>
      <c r="F205" s="337"/>
      <c r="G205" s="263" t="s">
        <v>212</v>
      </c>
      <c r="H205" s="293"/>
      <c r="I205" s="493">
        <v>32000</v>
      </c>
      <c r="J205" s="488"/>
      <c r="K205" s="493">
        <v>32000</v>
      </c>
      <c r="L205" s="488"/>
      <c r="M205" s="488"/>
      <c r="N205" s="488"/>
      <c r="O205" s="493">
        <v>32000</v>
      </c>
      <c r="P205" s="488"/>
      <c r="Q205" s="493"/>
      <c r="R205" s="486"/>
    </row>
    <row r="206" spans="1:18" ht="38.25" hidden="1" outlineLevel="2">
      <c r="A206" s="293"/>
      <c r="B206" s="492" t="s">
        <v>633</v>
      </c>
      <c r="C206" s="263" t="s">
        <v>629</v>
      </c>
      <c r="D206" s="293" t="s">
        <v>173</v>
      </c>
      <c r="E206" s="337"/>
      <c r="F206" s="337"/>
      <c r="G206" s="263" t="s">
        <v>212</v>
      </c>
      <c r="H206" s="293"/>
      <c r="I206" s="493">
        <v>20000</v>
      </c>
      <c r="J206" s="488"/>
      <c r="K206" s="493">
        <v>20000</v>
      </c>
      <c r="L206" s="488"/>
      <c r="M206" s="488"/>
      <c r="N206" s="488"/>
      <c r="O206" s="493">
        <v>20000</v>
      </c>
      <c r="P206" s="488"/>
      <c r="Q206" s="493"/>
      <c r="R206" s="486"/>
    </row>
    <row r="207" spans="1:18" ht="38.25" hidden="1" outlineLevel="2">
      <c r="A207" s="293"/>
      <c r="B207" s="492" t="s">
        <v>634</v>
      </c>
      <c r="C207" s="263" t="s">
        <v>629</v>
      </c>
      <c r="D207" s="293" t="s">
        <v>173</v>
      </c>
      <c r="E207" s="337"/>
      <c r="F207" s="337"/>
      <c r="G207" s="263" t="s">
        <v>212</v>
      </c>
      <c r="H207" s="293"/>
      <c r="I207" s="493">
        <v>28000</v>
      </c>
      <c r="J207" s="488"/>
      <c r="K207" s="493">
        <v>28000</v>
      </c>
      <c r="L207" s="488"/>
      <c r="M207" s="488"/>
      <c r="N207" s="488"/>
      <c r="O207" s="493">
        <v>28000</v>
      </c>
      <c r="P207" s="488"/>
      <c r="Q207" s="493"/>
      <c r="R207" s="486"/>
    </row>
    <row r="208" spans="1:18" ht="38.25" hidden="1" outlineLevel="2">
      <c r="A208" s="293"/>
      <c r="B208" s="492" t="s">
        <v>635</v>
      </c>
      <c r="C208" s="263" t="s">
        <v>629</v>
      </c>
      <c r="D208" s="293" t="s">
        <v>173</v>
      </c>
      <c r="E208" s="337"/>
      <c r="F208" s="337"/>
      <c r="G208" s="263" t="s">
        <v>212</v>
      </c>
      <c r="H208" s="293"/>
      <c r="I208" s="493">
        <v>8000</v>
      </c>
      <c r="J208" s="488"/>
      <c r="K208" s="493">
        <v>8000</v>
      </c>
      <c r="L208" s="488"/>
      <c r="M208" s="488"/>
      <c r="N208" s="488"/>
      <c r="O208" s="493">
        <v>8000</v>
      </c>
      <c r="P208" s="488"/>
      <c r="Q208" s="493"/>
      <c r="R208" s="486"/>
    </row>
    <row r="209" spans="1:18" ht="45" hidden="1" outlineLevel="2">
      <c r="A209" s="293"/>
      <c r="B209" s="492" t="s">
        <v>636</v>
      </c>
      <c r="C209" s="263" t="s">
        <v>629</v>
      </c>
      <c r="D209" s="293" t="s">
        <v>173</v>
      </c>
      <c r="E209" s="337"/>
      <c r="F209" s="337"/>
      <c r="G209" s="263" t="s">
        <v>212</v>
      </c>
      <c r="H209" s="293"/>
      <c r="I209" s="493">
        <v>14000</v>
      </c>
      <c r="J209" s="488"/>
      <c r="K209" s="493">
        <v>14000</v>
      </c>
      <c r="L209" s="488"/>
      <c r="M209" s="488"/>
      <c r="N209" s="488"/>
      <c r="O209" s="493">
        <v>14000</v>
      </c>
      <c r="P209" s="488"/>
      <c r="Q209" s="493"/>
      <c r="R209" s="486"/>
    </row>
    <row r="210" spans="1:18" ht="38.25" hidden="1" outlineLevel="2">
      <c r="A210" s="293"/>
      <c r="B210" s="492" t="s">
        <v>637</v>
      </c>
      <c r="C210" s="263" t="s">
        <v>629</v>
      </c>
      <c r="D210" s="293" t="s">
        <v>173</v>
      </c>
      <c r="E210" s="337"/>
      <c r="F210" s="337"/>
      <c r="G210" s="263" t="s">
        <v>212</v>
      </c>
      <c r="H210" s="293"/>
      <c r="I210" s="493">
        <v>15000</v>
      </c>
      <c r="J210" s="488"/>
      <c r="K210" s="493">
        <v>15000</v>
      </c>
      <c r="L210" s="488"/>
      <c r="M210" s="488"/>
      <c r="N210" s="488"/>
      <c r="O210" s="493">
        <v>15000</v>
      </c>
      <c r="P210" s="488"/>
      <c r="Q210" s="493"/>
      <c r="R210" s="486"/>
    </row>
    <row r="211" spans="1:18" ht="38.25" hidden="1" outlineLevel="2">
      <c r="A211" s="293"/>
      <c r="B211" s="492" t="s">
        <v>638</v>
      </c>
      <c r="C211" s="263" t="s">
        <v>629</v>
      </c>
      <c r="D211" s="293" t="s">
        <v>173</v>
      </c>
      <c r="E211" s="337"/>
      <c r="F211" s="337"/>
      <c r="G211" s="263" t="s">
        <v>212</v>
      </c>
      <c r="H211" s="293"/>
      <c r="I211" s="493">
        <v>7000</v>
      </c>
      <c r="J211" s="488"/>
      <c r="K211" s="493">
        <v>7000</v>
      </c>
      <c r="L211" s="488"/>
      <c r="M211" s="488"/>
      <c r="N211" s="488"/>
      <c r="O211" s="493">
        <v>7000</v>
      </c>
      <c r="P211" s="488"/>
      <c r="Q211" s="493"/>
      <c r="R211" s="486"/>
    </row>
    <row r="212" spans="1:18" ht="45" hidden="1" outlineLevel="2">
      <c r="A212" s="293"/>
      <c r="B212" s="492" t="s">
        <v>639</v>
      </c>
      <c r="C212" s="263" t="s">
        <v>629</v>
      </c>
      <c r="D212" s="293" t="s">
        <v>173</v>
      </c>
      <c r="E212" s="337"/>
      <c r="F212" s="337"/>
      <c r="G212" s="263" t="s">
        <v>212</v>
      </c>
      <c r="H212" s="293"/>
      <c r="I212" s="493">
        <v>30000</v>
      </c>
      <c r="J212" s="488"/>
      <c r="K212" s="493">
        <v>30000</v>
      </c>
      <c r="L212" s="488"/>
      <c r="M212" s="488"/>
      <c r="N212" s="488"/>
      <c r="O212" s="493">
        <v>30000</v>
      </c>
      <c r="P212" s="488"/>
      <c r="Q212" s="493"/>
      <c r="R212" s="486"/>
    </row>
    <row r="213" spans="1:18" s="297" customFormat="1" ht="18.75" customHeight="1" collapsed="1">
      <c r="A213" s="527" t="s">
        <v>846</v>
      </c>
      <c r="B213" s="298" t="s">
        <v>640</v>
      </c>
      <c r="C213" s="394"/>
      <c r="D213" s="343"/>
      <c r="E213" s="344"/>
      <c r="F213" s="344"/>
      <c r="G213" s="394"/>
      <c r="H213" s="343"/>
      <c r="I213" s="346">
        <f>I215</f>
        <v>30000</v>
      </c>
      <c r="J213" s="346">
        <f t="shared" ref="J213:Q213" si="29">J215</f>
        <v>0</v>
      </c>
      <c r="K213" s="346">
        <f t="shared" si="29"/>
        <v>30000</v>
      </c>
      <c r="L213" s="346">
        <f t="shared" si="29"/>
        <v>0</v>
      </c>
      <c r="M213" s="346">
        <f t="shared" si="29"/>
        <v>0</v>
      </c>
      <c r="N213" s="346">
        <f t="shared" si="29"/>
        <v>0</v>
      </c>
      <c r="O213" s="346">
        <f t="shared" si="29"/>
        <v>30000</v>
      </c>
      <c r="P213" s="346">
        <f t="shared" si="29"/>
        <v>0</v>
      </c>
      <c r="Q213" s="346">
        <f t="shared" si="29"/>
        <v>0</v>
      </c>
      <c r="R213" s="344"/>
    </row>
    <row r="214" spans="1:18" s="297" customFormat="1" hidden="1" outlineLevel="1" collapsed="1">
      <c r="A214" s="323"/>
      <c r="B214" s="281"/>
      <c r="C214" s="393"/>
      <c r="D214" s="324"/>
      <c r="E214" s="339"/>
      <c r="F214" s="339"/>
      <c r="G214" s="393"/>
      <c r="H214" s="324"/>
      <c r="I214" s="325"/>
      <c r="J214" s="325"/>
      <c r="K214" s="325"/>
      <c r="L214" s="325"/>
      <c r="M214" s="325"/>
      <c r="N214" s="325"/>
      <c r="O214" s="325"/>
      <c r="P214" s="325"/>
      <c r="Q214" s="325"/>
      <c r="R214" s="387"/>
    </row>
    <row r="215" spans="1:18" ht="105" hidden="1" outlineLevel="2">
      <c r="A215" s="293"/>
      <c r="B215" s="255" t="s">
        <v>641</v>
      </c>
      <c r="C215" s="263" t="s">
        <v>640</v>
      </c>
      <c r="D215" s="293" t="s">
        <v>173</v>
      </c>
      <c r="E215" s="337"/>
      <c r="F215" s="337"/>
      <c r="G215" s="263" t="s">
        <v>212</v>
      </c>
      <c r="H215" s="293"/>
      <c r="I215" s="294">
        <v>30000</v>
      </c>
      <c r="J215" s="294"/>
      <c r="K215" s="294">
        <v>30000</v>
      </c>
      <c r="L215" s="294"/>
      <c r="M215" s="294"/>
      <c r="N215" s="294"/>
      <c r="O215" s="294">
        <v>30000</v>
      </c>
      <c r="P215" s="294"/>
      <c r="Q215" s="294"/>
      <c r="R215" s="293" t="s">
        <v>642</v>
      </c>
    </row>
    <row r="216" spans="1:18" s="297" customFormat="1" ht="18.75" customHeight="1" collapsed="1">
      <c r="A216" s="527" t="s">
        <v>847</v>
      </c>
      <c r="B216" s="298" t="s">
        <v>643</v>
      </c>
      <c r="C216" s="394"/>
      <c r="D216" s="343"/>
      <c r="E216" s="344"/>
      <c r="F216" s="344"/>
      <c r="G216" s="394"/>
      <c r="H216" s="343"/>
      <c r="I216" s="346">
        <f>I218+I219+I220</f>
        <v>250800</v>
      </c>
      <c r="J216" s="346">
        <f t="shared" ref="J216:Q216" si="30">J218+J219+J220</f>
        <v>0</v>
      </c>
      <c r="K216" s="346">
        <f t="shared" si="30"/>
        <v>250800</v>
      </c>
      <c r="L216" s="346">
        <f t="shared" si="30"/>
        <v>0</v>
      </c>
      <c r="M216" s="346">
        <f t="shared" si="30"/>
        <v>0</v>
      </c>
      <c r="N216" s="346">
        <f t="shared" si="30"/>
        <v>0</v>
      </c>
      <c r="O216" s="346">
        <f t="shared" si="30"/>
        <v>250800</v>
      </c>
      <c r="P216" s="346">
        <f t="shared" si="30"/>
        <v>0</v>
      </c>
      <c r="Q216" s="346">
        <f t="shared" si="30"/>
        <v>0</v>
      </c>
      <c r="R216" s="344"/>
    </row>
    <row r="217" spans="1:18" s="297" customFormat="1" hidden="1" outlineLevel="1" collapsed="1">
      <c r="A217" s="323"/>
      <c r="B217" s="281"/>
      <c r="C217" s="393"/>
      <c r="D217" s="324"/>
      <c r="E217" s="339"/>
      <c r="F217" s="339"/>
      <c r="G217" s="393"/>
      <c r="H217" s="324"/>
      <c r="I217" s="325"/>
      <c r="J217" s="325"/>
      <c r="K217" s="325"/>
      <c r="L217" s="325"/>
      <c r="M217" s="325"/>
      <c r="N217" s="325"/>
      <c r="O217" s="325"/>
      <c r="P217" s="325"/>
      <c r="Q217" s="325"/>
      <c r="R217" s="387"/>
    </row>
    <row r="218" spans="1:18" ht="45" hidden="1" outlineLevel="2">
      <c r="A218" s="293"/>
      <c r="B218" s="279" t="s">
        <v>644</v>
      </c>
      <c r="C218" s="263" t="s">
        <v>643</v>
      </c>
      <c r="D218" s="293" t="s">
        <v>101</v>
      </c>
      <c r="E218" s="337"/>
      <c r="F218" s="337"/>
      <c r="G218" s="263" t="s">
        <v>300</v>
      </c>
      <c r="H218" s="293"/>
      <c r="I218" s="488">
        <v>221000</v>
      </c>
      <c r="J218" s="488"/>
      <c r="K218" s="488">
        <v>221000</v>
      </c>
      <c r="L218" s="488"/>
      <c r="M218" s="488"/>
      <c r="N218" s="488"/>
      <c r="O218" s="488">
        <v>221000</v>
      </c>
      <c r="P218" s="488"/>
      <c r="Q218" s="488"/>
      <c r="R218" s="486"/>
    </row>
    <row r="219" spans="1:18" ht="108" hidden="1" outlineLevel="2">
      <c r="A219" s="293"/>
      <c r="B219" s="279" t="s">
        <v>645</v>
      </c>
      <c r="C219" s="263" t="s">
        <v>643</v>
      </c>
      <c r="D219" s="293" t="s">
        <v>173</v>
      </c>
      <c r="E219" s="337"/>
      <c r="F219" s="566" t="s">
        <v>646</v>
      </c>
      <c r="G219" s="282" t="s">
        <v>330</v>
      </c>
      <c r="H219" s="293"/>
      <c r="I219" s="488">
        <v>14900</v>
      </c>
      <c r="J219" s="488"/>
      <c r="K219" s="488">
        <v>14900</v>
      </c>
      <c r="L219" s="488"/>
      <c r="M219" s="488"/>
      <c r="N219" s="488"/>
      <c r="O219" s="488">
        <v>14900</v>
      </c>
      <c r="P219" s="488"/>
      <c r="Q219" s="488"/>
      <c r="R219" s="486"/>
    </row>
    <row r="220" spans="1:18" ht="96" hidden="1" outlineLevel="2">
      <c r="A220" s="293"/>
      <c r="B220" s="492" t="s">
        <v>647</v>
      </c>
      <c r="C220" s="263" t="s">
        <v>643</v>
      </c>
      <c r="D220" s="293" t="s">
        <v>173</v>
      </c>
      <c r="E220" s="337"/>
      <c r="F220" s="337" t="s">
        <v>648</v>
      </c>
      <c r="G220" s="263" t="s">
        <v>330</v>
      </c>
      <c r="H220" s="293"/>
      <c r="I220" s="493">
        <v>14900</v>
      </c>
      <c r="J220" s="488"/>
      <c r="K220" s="493">
        <v>14900</v>
      </c>
      <c r="L220" s="488"/>
      <c r="M220" s="488"/>
      <c r="N220" s="488"/>
      <c r="O220" s="493">
        <v>14900</v>
      </c>
      <c r="P220" s="488"/>
      <c r="Q220" s="493"/>
      <c r="R220" s="486"/>
    </row>
    <row r="221" spans="1:18" s="297" customFormat="1" ht="18.75" customHeight="1" collapsed="1">
      <c r="A221" s="527" t="s">
        <v>848</v>
      </c>
      <c r="B221" s="298" t="s">
        <v>649</v>
      </c>
      <c r="C221" s="394"/>
      <c r="D221" s="343"/>
      <c r="E221" s="344"/>
      <c r="F221" s="344"/>
      <c r="G221" s="394"/>
      <c r="H221" s="343"/>
      <c r="I221" s="346">
        <f>SUM(I223:I232)</f>
        <v>133000</v>
      </c>
      <c r="J221" s="346">
        <f t="shared" ref="J221:Q221" si="31">SUM(J223:J232)</f>
        <v>0</v>
      </c>
      <c r="K221" s="346">
        <f t="shared" si="31"/>
        <v>133000</v>
      </c>
      <c r="L221" s="346">
        <f t="shared" si="31"/>
        <v>0</v>
      </c>
      <c r="M221" s="346">
        <f t="shared" si="31"/>
        <v>0</v>
      </c>
      <c r="N221" s="346">
        <f t="shared" si="31"/>
        <v>0</v>
      </c>
      <c r="O221" s="346">
        <f t="shared" si="31"/>
        <v>133000</v>
      </c>
      <c r="P221" s="346">
        <f t="shared" si="31"/>
        <v>0</v>
      </c>
      <c r="Q221" s="346">
        <f t="shared" si="31"/>
        <v>0</v>
      </c>
      <c r="R221" s="344"/>
    </row>
    <row r="222" spans="1:18" s="297" customFormat="1" hidden="1" outlineLevel="1" collapsed="1">
      <c r="A222" s="323"/>
      <c r="B222" s="281"/>
      <c r="C222" s="393"/>
      <c r="D222" s="324"/>
      <c r="E222" s="339"/>
      <c r="F222" s="339"/>
      <c r="G222" s="393"/>
      <c r="H222" s="324"/>
      <c r="I222" s="325"/>
      <c r="J222" s="325"/>
      <c r="K222" s="325"/>
      <c r="L222" s="325"/>
      <c r="M222" s="325"/>
      <c r="N222" s="325"/>
      <c r="O222" s="325"/>
      <c r="P222" s="325"/>
      <c r="Q222" s="325"/>
      <c r="R222" s="387"/>
    </row>
    <row r="223" spans="1:18" ht="61.9" hidden="1" customHeight="1" outlineLevel="2">
      <c r="A223" s="293"/>
      <c r="B223" s="492" t="s">
        <v>650</v>
      </c>
      <c r="C223" s="263" t="s">
        <v>649</v>
      </c>
      <c r="D223" s="293" t="s">
        <v>173</v>
      </c>
      <c r="E223" s="337"/>
      <c r="F223" s="337"/>
      <c r="G223" s="263" t="s">
        <v>212</v>
      </c>
      <c r="H223" s="293"/>
      <c r="I223" s="493">
        <v>15000</v>
      </c>
      <c r="J223" s="488"/>
      <c r="K223" s="493">
        <v>15000</v>
      </c>
      <c r="L223" s="488"/>
      <c r="M223" s="488"/>
      <c r="N223" s="488"/>
      <c r="O223" s="493">
        <v>15000</v>
      </c>
      <c r="P223" s="488"/>
      <c r="Q223" s="493"/>
      <c r="R223" s="486"/>
    </row>
    <row r="224" spans="1:18" ht="46.15" hidden="1" customHeight="1" outlineLevel="2">
      <c r="A224" s="293"/>
      <c r="B224" s="492" t="s">
        <v>651</v>
      </c>
      <c r="C224" s="263" t="s">
        <v>649</v>
      </c>
      <c r="D224" s="293" t="s">
        <v>173</v>
      </c>
      <c r="E224" s="337"/>
      <c r="F224" s="337"/>
      <c r="G224" s="263" t="s">
        <v>428</v>
      </c>
      <c r="H224" s="293"/>
      <c r="I224" s="493">
        <v>25000</v>
      </c>
      <c r="J224" s="488"/>
      <c r="K224" s="493">
        <v>25000</v>
      </c>
      <c r="L224" s="488"/>
      <c r="M224" s="488"/>
      <c r="N224" s="488"/>
      <c r="O224" s="493">
        <v>25000</v>
      </c>
      <c r="P224" s="488"/>
      <c r="Q224" s="493"/>
      <c r="R224" s="486"/>
    </row>
    <row r="225" spans="1:18" ht="34.15" hidden="1" customHeight="1" outlineLevel="2">
      <c r="A225" s="293"/>
      <c r="B225" s="492" t="s">
        <v>652</v>
      </c>
      <c r="C225" s="263" t="s">
        <v>649</v>
      </c>
      <c r="D225" s="293" t="s">
        <v>173</v>
      </c>
      <c r="E225" s="337"/>
      <c r="F225" s="337"/>
      <c r="G225" s="263" t="s">
        <v>212</v>
      </c>
      <c r="H225" s="293"/>
      <c r="I225" s="493">
        <v>15000</v>
      </c>
      <c r="J225" s="488"/>
      <c r="K225" s="493">
        <v>15000</v>
      </c>
      <c r="L225" s="488"/>
      <c r="M225" s="488"/>
      <c r="N225" s="488"/>
      <c r="O225" s="493">
        <v>15000</v>
      </c>
      <c r="P225" s="488"/>
      <c r="Q225" s="493"/>
      <c r="R225" s="486"/>
    </row>
    <row r="226" spans="1:18" ht="45" hidden="1" outlineLevel="2">
      <c r="A226" s="293"/>
      <c r="B226" s="492" t="s">
        <v>653</v>
      </c>
      <c r="C226" s="263" t="s">
        <v>649</v>
      </c>
      <c r="D226" s="293" t="s">
        <v>173</v>
      </c>
      <c r="E226" s="337"/>
      <c r="F226" s="337"/>
      <c r="G226" s="263" t="s">
        <v>428</v>
      </c>
      <c r="H226" s="293"/>
      <c r="I226" s="493">
        <v>5000</v>
      </c>
      <c r="J226" s="488"/>
      <c r="K226" s="493">
        <v>5000</v>
      </c>
      <c r="L226" s="488"/>
      <c r="M226" s="488"/>
      <c r="N226" s="488"/>
      <c r="O226" s="493">
        <v>5000</v>
      </c>
      <c r="P226" s="488"/>
      <c r="Q226" s="493"/>
      <c r="R226" s="486"/>
    </row>
    <row r="227" spans="1:18" ht="30" hidden="1" outlineLevel="2">
      <c r="A227" s="293"/>
      <c r="B227" s="492" t="s">
        <v>654</v>
      </c>
      <c r="C227" s="263" t="s">
        <v>649</v>
      </c>
      <c r="D227" s="293" t="s">
        <v>173</v>
      </c>
      <c r="E227" s="337"/>
      <c r="F227" s="337"/>
      <c r="G227" s="263" t="s">
        <v>234</v>
      </c>
      <c r="H227" s="293"/>
      <c r="I227" s="493">
        <v>12000</v>
      </c>
      <c r="J227" s="488"/>
      <c r="K227" s="493">
        <v>12000</v>
      </c>
      <c r="L227" s="488"/>
      <c r="M227" s="488"/>
      <c r="N227" s="488"/>
      <c r="O227" s="493">
        <v>12000</v>
      </c>
      <c r="P227" s="488"/>
      <c r="Q227" s="493"/>
      <c r="R227" s="486"/>
    </row>
    <row r="228" spans="1:18" ht="30" hidden="1" outlineLevel="2">
      <c r="A228" s="293"/>
      <c r="B228" s="492" t="s">
        <v>655</v>
      </c>
      <c r="C228" s="263" t="s">
        <v>649</v>
      </c>
      <c r="D228" s="293" t="s">
        <v>173</v>
      </c>
      <c r="E228" s="337"/>
      <c r="F228" s="337"/>
      <c r="G228" s="263" t="s">
        <v>428</v>
      </c>
      <c r="H228" s="293"/>
      <c r="I228" s="493">
        <v>12000</v>
      </c>
      <c r="J228" s="488"/>
      <c r="K228" s="493">
        <v>12000</v>
      </c>
      <c r="L228" s="488"/>
      <c r="M228" s="488"/>
      <c r="N228" s="488"/>
      <c r="O228" s="493">
        <v>12000</v>
      </c>
      <c r="P228" s="488"/>
      <c r="Q228" s="493"/>
      <c r="R228" s="486"/>
    </row>
    <row r="229" spans="1:18" ht="45" hidden="1" outlineLevel="2">
      <c r="A229" s="293"/>
      <c r="B229" s="492" t="s">
        <v>656</v>
      </c>
      <c r="C229" s="263" t="s">
        <v>649</v>
      </c>
      <c r="D229" s="293" t="s">
        <v>173</v>
      </c>
      <c r="E229" s="337"/>
      <c r="F229" s="337"/>
      <c r="G229" s="263" t="s">
        <v>212</v>
      </c>
      <c r="H229" s="293"/>
      <c r="I229" s="493">
        <v>10000</v>
      </c>
      <c r="J229" s="488"/>
      <c r="K229" s="493">
        <v>10000</v>
      </c>
      <c r="L229" s="488"/>
      <c r="M229" s="488"/>
      <c r="N229" s="488"/>
      <c r="O229" s="493">
        <v>10000</v>
      </c>
      <c r="P229" s="488"/>
      <c r="Q229" s="493"/>
      <c r="R229" s="486"/>
    </row>
    <row r="230" spans="1:18" ht="75" hidden="1" outlineLevel="2">
      <c r="A230" s="293"/>
      <c r="B230" s="492" t="s">
        <v>657</v>
      </c>
      <c r="C230" s="263" t="s">
        <v>649</v>
      </c>
      <c r="D230" s="293" t="s">
        <v>173</v>
      </c>
      <c r="E230" s="337"/>
      <c r="F230" s="337"/>
      <c r="G230" s="263" t="s">
        <v>212</v>
      </c>
      <c r="H230" s="293"/>
      <c r="I230" s="493">
        <v>20000</v>
      </c>
      <c r="J230" s="488"/>
      <c r="K230" s="493">
        <v>20000</v>
      </c>
      <c r="L230" s="488"/>
      <c r="M230" s="488"/>
      <c r="N230" s="488"/>
      <c r="O230" s="493">
        <v>20000</v>
      </c>
      <c r="P230" s="488"/>
      <c r="Q230" s="493"/>
      <c r="R230" s="486"/>
    </row>
    <row r="231" spans="1:18" ht="45" hidden="1" outlineLevel="2">
      <c r="A231" s="293"/>
      <c r="B231" s="492" t="s">
        <v>658</v>
      </c>
      <c r="C231" s="263" t="s">
        <v>649</v>
      </c>
      <c r="D231" s="293" t="s">
        <v>173</v>
      </c>
      <c r="E231" s="337"/>
      <c r="F231" s="337"/>
      <c r="G231" s="263" t="s">
        <v>212</v>
      </c>
      <c r="H231" s="293"/>
      <c r="I231" s="493">
        <v>12000</v>
      </c>
      <c r="J231" s="488"/>
      <c r="K231" s="493">
        <v>12000</v>
      </c>
      <c r="L231" s="488"/>
      <c r="M231" s="488"/>
      <c r="N231" s="488"/>
      <c r="O231" s="493">
        <v>12000</v>
      </c>
      <c r="P231" s="488"/>
      <c r="Q231" s="493"/>
      <c r="R231" s="486"/>
    </row>
    <row r="232" spans="1:18" ht="45" hidden="1" outlineLevel="2">
      <c r="A232" s="293"/>
      <c r="B232" s="492" t="s">
        <v>659</v>
      </c>
      <c r="C232" s="263" t="s">
        <v>649</v>
      </c>
      <c r="D232" s="293" t="s">
        <v>173</v>
      </c>
      <c r="E232" s="337"/>
      <c r="F232" s="337"/>
      <c r="G232" s="263" t="s">
        <v>234</v>
      </c>
      <c r="H232" s="293"/>
      <c r="I232" s="493">
        <v>7000</v>
      </c>
      <c r="J232" s="488"/>
      <c r="K232" s="493">
        <v>7000</v>
      </c>
      <c r="L232" s="488"/>
      <c r="M232" s="488"/>
      <c r="N232" s="488"/>
      <c r="O232" s="493">
        <v>7000</v>
      </c>
      <c r="P232" s="488"/>
      <c r="Q232" s="493"/>
      <c r="R232" s="486"/>
    </row>
    <row r="233" spans="1:18" s="297" customFormat="1" ht="18.75" customHeight="1" collapsed="1">
      <c r="A233" s="527" t="s">
        <v>850</v>
      </c>
      <c r="B233" s="298" t="s">
        <v>849</v>
      </c>
      <c r="C233" s="394"/>
      <c r="D233" s="343"/>
      <c r="E233" s="344"/>
      <c r="F233" s="344"/>
      <c r="G233" s="394"/>
      <c r="H233" s="343"/>
      <c r="I233" s="346">
        <f>SUM(I235:I238)</f>
        <v>530213.66999999993</v>
      </c>
      <c r="J233" s="346">
        <f t="shared" ref="J233:Q233" si="32">SUM(J235:J238)</f>
        <v>341380.73</v>
      </c>
      <c r="K233" s="346">
        <f t="shared" si="32"/>
        <v>188832.94</v>
      </c>
      <c r="L233" s="346">
        <f t="shared" si="32"/>
        <v>0</v>
      </c>
      <c r="M233" s="346">
        <f t="shared" si="32"/>
        <v>0</v>
      </c>
      <c r="N233" s="346">
        <f t="shared" si="32"/>
        <v>0</v>
      </c>
      <c r="O233" s="346">
        <f t="shared" si="32"/>
        <v>188832.94</v>
      </c>
      <c r="P233" s="346">
        <f t="shared" si="32"/>
        <v>0</v>
      </c>
      <c r="Q233" s="346">
        <f t="shared" si="32"/>
        <v>0</v>
      </c>
      <c r="R233" s="344"/>
    </row>
    <row r="234" spans="1:18" s="297" customFormat="1" hidden="1" outlineLevel="1" collapsed="1">
      <c r="A234" s="323"/>
      <c r="B234" s="281"/>
      <c r="C234" s="393"/>
      <c r="D234" s="324"/>
      <c r="E234" s="339"/>
      <c r="F234" s="339"/>
      <c r="G234" s="393"/>
      <c r="H234" s="324"/>
      <c r="I234" s="325"/>
      <c r="J234" s="325"/>
      <c r="K234" s="325"/>
      <c r="L234" s="325"/>
      <c r="M234" s="325"/>
      <c r="N234" s="325"/>
      <c r="O234" s="325"/>
      <c r="P234" s="325"/>
      <c r="Q234" s="325"/>
      <c r="R234" s="387"/>
    </row>
    <row r="235" spans="1:18" s="297" customFormat="1" ht="60" hidden="1" outlineLevel="2">
      <c r="A235" s="293">
        <v>1</v>
      </c>
      <c r="B235" s="535" t="s">
        <v>851</v>
      </c>
      <c r="C235" s="263" t="s">
        <v>849</v>
      </c>
      <c r="D235" s="293"/>
      <c r="E235" s="337"/>
      <c r="F235" s="337"/>
      <c r="G235" s="293" t="s">
        <v>300</v>
      </c>
      <c r="H235" s="293"/>
      <c r="I235" s="294">
        <v>30000</v>
      </c>
      <c r="J235" s="294"/>
      <c r="K235" s="294">
        <v>30000</v>
      </c>
      <c r="L235" s="294"/>
      <c r="M235" s="294"/>
      <c r="N235" s="294"/>
      <c r="O235" s="294">
        <v>30000</v>
      </c>
      <c r="P235" s="294"/>
      <c r="Q235" s="294"/>
      <c r="R235" s="255" t="s">
        <v>852</v>
      </c>
    </row>
    <row r="236" spans="1:18" s="297" customFormat="1" ht="45" hidden="1" outlineLevel="2">
      <c r="A236" s="293">
        <v>2</v>
      </c>
      <c r="B236" s="255" t="s">
        <v>853</v>
      </c>
      <c r="C236" s="263"/>
      <c r="D236" s="349" t="s">
        <v>173</v>
      </c>
      <c r="E236" s="337" t="s">
        <v>854</v>
      </c>
      <c r="F236" s="337"/>
      <c r="G236" s="293" t="s">
        <v>300</v>
      </c>
      <c r="H236" s="293"/>
      <c r="I236" s="294">
        <v>60000</v>
      </c>
      <c r="J236" s="295"/>
      <c r="K236" s="294">
        <v>60000</v>
      </c>
      <c r="L236" s="295"/>
      <c r="M236" s="295"/>
      <c r="N236" s="295"/>
      <c r="O236" s="294">
        <v>60000</v>
      </c>
      <c r="P236" s="295"/>
      <c r="Q236" s="295"/>
      <c r="R236" s="255" t="s">
        <v>855</v>
      </c>
    </row>
    <row r="237" spans="1:18" s="297" customFormat="1" ht="60" hidden="1" outlineLevel="2">
      <c r="A237" s="293">
        <v>3</v>
      </c>
      <c r="B237" s="255" t="s">
        <v>856</v>
      </c>
      <c r="C237" s="263"/>
      <c r="D237" s="349"/>
      <c r="E237" s="337"/>
      <c r="F237" s="337"/>
      <c r="G237" s="293" t="s">
        <v>300</v>
      </c>
      <c r="H237" s="293"/>
      <c r="I237" s="294">
        <v>310713.67</v>
      </c>
      <c r="J237" s="294">
        <v>242880.73</v>
      </c>
      <c r="K237" s="294">
        <v>67832.94</v>
      </c>
      <c r="L237" s="295"/>
      <c r="M237" s="295"/>
      <c r="N237" s="295"/>
      <c r="O237" s="294">
        <v>67832.94</v>
      </c>
      <c r="P237" s="294"/>
      <c r="Q237" s="294"/>
      <c r="R237" s="536" t="s">
        <v>859</v>
      </c>
    </row>
    <row r="238" spans="1:18" s="297" customFormat="1" ht="33" hidden="1" customHeight="1" outlineLevel="2">
      <c r="A238" s="293">
        <v>4</v>
      </c>
      <c r="B238" s="255" t="s">
        <v>858</v>
      </c>
      <c r="C238" s="263"/>
      <c r="D238" s="349"/>
      <c r="E238" s="337"/>
      <c r="F238" s="337"/>
      <c r="G238" s="293" t="s">
        <v>424</v>
      </c>
      <c r="H238" s="293"/>
      <c r="I238" s="294">
        <v>129500</v>
      </c>
      <c r="J238" s="294">
        <v>98500</v>
      </c>
      <c r="K238" s="294">
        <v>31000</v>
      </c>
      <c r="L238" s="295"/>
      <c r="M238" s="295"/>
      <c r="N238" s="295"/>
      <c r="O238" s="294">
        <v>31000</v>
      </c>
      <c r="P238" s="294"/>
      <c r="Q238" s="294"/>
      <c r="R238" s="255" t="s">
        <v>860</v>
      </c>
    </row>
    <row r="239" spans="1:18" s="297" customFormat="1" ht="30.75" customHeight="1" collapsed="1">
      <c r="A239" s="537" t="s">
        <v>101</v>
      </c>
      <c r="B239" s="538" t="s">
        <v>661</v>
      </c>
      <c r="C239" s="540"/>
      <c r="D239" s="537"/>
      <c r="E239" s="539"/>
      <c r="F239" s="539"/>
      <c r="G239" s="540"/>
      <c r="H239" s="537"/>
      <c r="I239" s="541">
        <f>I240+I250+I259+I263+I266+I270+I273+I277+I288+I296+I303+I310+I314</f>
        <v>6371390</v>
      </c>
      <c r="J239" s="541">
        <f t="shared" ref="J239:Q239" si="33">J240+J250+J259+J263+J266+J270+J273+J277+J288+J296+J303+J310+J314</f>
        <v>0</v>
      </c>
      <c r="K239" s="541">
        <f t="shared" si="33"/>
        <v>5589333</v>
      </c>
      <c r="L239" s="541">
        <f t="shared" si="33"/>
        <v>0</v>
      </c>
      <c r="M239" s="541">
        <f t="shared" si="33"/>
        <v>0</v>
      </c>
      <c r="N239" s="541">
        <f t="shared" si="33"/>
        <v>0</v>
      </c>
      <c r="O239" s="541">
        <f>O240+O250+O259+O263+O266+O270+O273+O277+O288+O296+O303+O310+O314</f>
        <v>5337390</v>
      </c>
      <c r="P239" s="541">
        <f t="shared" si="33"/>
        <v>0</v>
      </c>
      <c r="Q239" s="541">
        <f t="shared" si="33"/>
        <v>0</v>
      </c>
      <c r="R239" s="542"/>
    </row>
    <row r="240" spans="1:18" s="297" customFormat="1" ht="18.75" customHeight="1">
      <c r="A240" s="527" t="s">
        <v>835</v>
      </c>
      <c r="B240" s="298" t="s">
        <v>185</v>
      </c>
      <c r="C240" s="394"/>
      <c r="D240" s="343"/>
      <c r="E240" s="344"/>
      <c r="F240" s="344"/>
      <c r="G240" s="394"/>
      <c r="H240" s="343"/>
      <c r="I240" s="346">
        <f>SUM(I241:I249)</f>
        <v>1812000</v>
      </c>
      <c r="J240" s="346">
        <f t="shared" ref="J240:Q240" si="34">SUM(J241:J249)</f>
        <v>0</v>
      </c>
      <c r="K240" s="346">
        <f t="shared" si="34"/>
        <v>1812000</v>
      </c>
      <c r="L240" s="346">
        <f t="shared" si="34"/>
        <v>0</v>
      </c>
      <c r="M240" s="346">
        <f t="shared" si="34"/>
        <v>0</v>
      </c>
      <c r="N240" s="346">
        <f t="shared" si="34"/>
        <v>0</v>
      </c>
      <c r="O240" s="346">
        <f t="shared" si="34"/>
        <v>1812000</v>
      </c>
      <c r="P240" s="346">
        <f t="shared" si="34"/>
        <v>0</v>
      </c>
      <c r="Q240" s="346">
        <f t="shared" si="34"/>
        <v>0</v>
      </c>
      <c r="R240" s="344"/>
    </row>
    <row r="241" spans="1:18" ht="30" hidden="1" outlineLevel="1">
      <c r="A241" s="293">
        <v>1</v>
      </c>
      <c r="B241" s="255" t="s">
        <v>673</v>
      </c>
      <c r="C241" s="263" t="s">
        <v>185</v>
      </c>
      <c r="D241" s="293" t="s">
        <v>101</v>
      </c>
      <c r="E241" s="337" t="s">
        <v>675</v>
      </c>
      <c r="F241" s="337" t="s">
        <v>676</v>
      </c>
      <c r="G241" s="293" t="s">
        <v>300</v>
      </c>
      <c r="H241" s="293"/>
      <c r="I241" s="294">
        <v>350000</v>
      </c>
      <c r="J241" s="295"/>
      <c r="K241" s="295">
        <v>350000</v>
      </c>
      <c r="L241" s="295"/>
      <c r="M241" s="295"/>
      <c r="N241" s="295"/>
      <c r="O241" s="295">
        <v>350000</v>
      </c>
      <c r="P241" s="295"/>
      <c r="Q241" s="295"/>
      <c r="R241" s="293"/>
    </row>
    <row r="242" spans="1:18" ht="45" hidden="1" outlineLevel="1">
      <c r="A242" s="293">
        <v>2</v>
      </c>
      <c r="B242" s="255" t="s">
        <v>677</v>
      </c>
      <c r="C242" s="263" t="s">
        <v>674</v>
      </c>
      <c r="D242" s="293" t="s">
        <v>101</v>
      </c>
      <c r="E242" s="337" t="s">
        <v>678</v>
      </c>
      <c r="F242" s="337" t="s">
        <v>679</v>
      </c>
      <c r="G242" s="293" t="s">
        <v>300</v>
      </c>
      <c r="H242" s="293"/>
      <c r="I242" s="294">
        <v>320000</v>
      </c>
      <c r="J242" s="295"/>
      <c r="K242" s="295">
        <v>320000</v>
      </c>
      <c r="L242" s="295"/>
      <c r="M242" s="295"/>
      <c r="N242" s="295"/>
      <c r="O242" s="295">
        <v>320000</v>
      </c>
      <c r="P242" s="295"/>
      <c r="Q242" s="295"/>
      <c r="R242" s="293"/>
    </row>
    <row r="243" spans="1:18" ht="45" hidden="1" outlineLevel="1">
      <c r="A243" s="293">
        <v>3</v>
      </c>
      <c r="B243" s="255" t="s">
        <v>680</v>
      </c>
      <c r="C243" s="263" t="s">
        <v>185</v>
      </c>
      <c r="D243" s="293" t="s">
        <v>101</v>
      </c>
      <c r="E243" s="337" t="s">
        <v>681</v>
      </c>
      <c r="F243" s="337" t="s">
        <v>682</v>
      </c>
      <c r="G243" s="293" t="s">
        <v>300</v>
      </c>
      <c r="H243" s="293"/>
      <c r="I243" s="294">
        <v>200000</v>
      </c>
      <c r="J243" s="295"/>
      <c r="K243" s="295">
        <v>200000</v>
      </c>
      <c r="L243" s="295"/>
      <c r="M243" s="295"/>
      <c r="N243" s="295"/>
      <c r="O243" s="295">
        <v>200000</v>
      </c>
      <c r="P243" s="295"/>
      <c r="Q243" s="295"/>
      <c r="R243" s="293"/>
    </row>
    <row r="244" spans="1:18" ht="45" hidden="1" outlineLevel="1">
      <c r="A244" s="293">
        <v>4</v>
      </c>
      <c r="B244" s="255" t="s">
        <v>683</v>
      </c>
      <c r="C244" s="263" t="s">
        <v>674</v>
      </c>
      <c r="D244" s="293" t="s">
        <v>101</v>
      </c>
      <c r="E244" s="337" t="s">
        <v>684</v>
      </c>
      <c r="F244" s="337" t="s">
        <v>685</v>
      </c>
      <c r="G244" s="293" t="s">
        <v>300</v>
      </c>
      <c r="H244" s="293"/>
      <c r="I244" s="294">
        <v>130000</v>
      </c>
      <c r="J244" s="295"/>
      <c r="K244" s="295">
        <v>130000</v>
      </c>
      <c r="L244" s="295"/>
      <c r="M244" s="295"/>
      <c r="N244" s="295"/>
      <c r="O244" s="295">
        <v>130000</v>
      </c>
      <c r="P244" s="295"/>
      <c r="Q244" s="295"/>
      <c r="R244" s="293"/>
    </row>
    <row r="245" spans="1:18" ht="45" hidden="1" outlineLevel="1">
      <c r="A245" s="293">
        <v>5</v>
      </c>
      <c r="B245" s="255" t="s">
        <v>686</v>
      </c>
      <c r="C245" s="263" t="s">
        <v>674</v>
      </c>
      <c r="D245" s="293" t="s">
        <v>101</v>
      </c>
      <c r="E245" s="337" t="s">
        <v>687</v>
      </c>
      <c r="F245" s="337" t="s">
        <v>688</v>
      </c>
      <c r="G245" s="293" t="s">
        <v>300</v>
      </c>
      <c r="H245" s="293"/>
      <c r="I245" s="294">
        <v>150000</v>
      </c>
      <c r="J245" s="295"/>
      <c r="K245" s="295">
        <v>150000</v>
      </c>
      <c r="L245" s="295"/>
      <c r="M245" s="295"/>
      <c r="N245" s="295"/>
      <c r="O245" s="295">
        <v>150000</v>
      </c>
      <c r="P245" s="295"/>
      <c r="Q245" s="295"/>
      <c r="R245" s="293"/>
    </row>
    <row r="246" spans="1:18" ht="60" hidden="1" outlineLevel="1">
      <c r="A246" s="293">
        <v>6</v>
      </c>
      <c r="B246" s="255" t="s">
        <v>689</v>
      </c>
      <c r="C246" s="263" t="s">
        <v>674</v>
      </c>
      <c r="D246" s="293" t="s">
        <v>173</v>
      </c>
      <c r="E246" s="337" t="s">
        <v>687</v>
      </c>
      <c r="F246" s="337" t="s">
        <v>690</v>
      </c>
      <c r="G246" s="293" t="s">
        <v>300</v>
      </c>
      <c r="H246" s="293"/>
      <c r="I246" s="294">
        <v>50000</v>
      </c>
      <c r="J246" s="295"/>
      <c r="K246" s="295">
        <v>50000</v>
      </c>
      <c r="L246" s="295"/>
      <c r="M246" s="295"/>
      <c r="N246" s="295"/>
      <c r="O246" s="295">
        <v>50000</v>
      </c>
      <c r="P246" s="295"/>
      <c r="Q246" s="295"/>
      <c r="R246" s="293"/>
    </row>
    <row r="247" spans="1:18" ht="45" hidden="1" outlineLevel="1">
      <c r="A247" s="293">
        <v>7</v>
      </c>
      <c r="B247" s="255" t="s">
        <v>691</v>
      </c>
      <c r="C247" s="263" t="s">
        <v>674</v>
      </c>
      <c r="D247" s="293" t="s">
        <v>173</v>
      </c>
      <c r="E247" s="337" t="s">
        <v>692</v>
      </c>
      <c r="F247" s="337" t="s">
        <v>693</v>
      </c>
      <c r="G247" s="293" t="s">
        <v>300</v>
      </c>
      <c r="H247" s="293"/>
      <c r="I247" s="294">
        <v>72000</v>
      </c>
      <c r="J247" s="295"/>
      <c r="K247" s="295">
        <v>72000</v>
      </c>
      <c r="L247" s="295"/>
      <c r="M247" s="295"/>
      <c r="N247" s="295"/>
      <c r="O247" s="295">
        <v>72000</v>
      </c>
      <c r="P247" s="295"/>
      <c r="Q247" s="295"/>
      <c r="R247" s="293"/>
    </row>
    <row r="248" spans="1:18" ht="60" hidden="1" outlineLevel="1">
      <c r="A248" s="293">
        <v>8</v>
      </c>
      <c r="B248" s="279" t="s">
        <v>694</v>
      </c>
      <c r="C248" s="263" t="s">
        <v>674</v>
      </c>
      <c r="D248" s="293" t="s">
        <v>173</v>
      </c>
      <c r="E248" s="337" t="s">
        <v>217</v>
      </c>
      <c r="F248" s="337" t="s">
        <v>695</v>
      </c>
      <c r="G248" s="293" t="s">
        <v>300</v>
      </c>
      <c r="H248" s="293"/>
      <c r="I248" s="294">
        <v>40000</v>
      </c>
      <c r="J248" s="295"/>
      <c r="K248" s="295">
        <v>40000</v>
      </c>
      <c r="L248" s="295"/>
      <c r="M248" s="295"/>
      <c r="N248" s="295"/>
      <c r="O248" s="295">
        <v>40000</v>
      </c>
      <c r="P248" s="295"/>
      <c r="Q248" s="295"/>
      <c r="R248" s="486"/>
    </row>
    <row r="249" spans="1:18" ht="30" hidden="1" outlineLevel="1">
      <c r="A249" s="293">
        <v>9</v>
      </c>
      <c r="B249" s="279" t="s">
        <v>696</v>
      </c>
      <c r="C249" s="263" t="s">
        <v>674</v>
      </c>
      <c r="D249" s="293" t="s">
        <v>101</v>
      </c>
      <c r="E249" s="337" t="s">
        <v>675</v>
      </c>
      <c r="F249" s="337" t="s">
        <v>697</v>
      </c>
      <c r="G249" s="293" t="s">
        <v>300</v>
      </c>
      <c r="H249" s="293"/>
      <c r="I249" s="294">
        <v>500000</v>
      </c>
      <c r="J249" s="295"/>
      <c r="K249" s="295">
        <v>500000</v>
      </c>
      <c r="L249" s="295"/>
      <c r="M249" s="295"/>
      <c r="N249" s="295"/>
      <c r="O249" s="295">
        <v>500000</v>
      </c>
      <c r="P249" s="295"/>
      <c r="Q249" s="295"/>
      <c r="R249" s="486"/>
    </row>
    <row r="250" spans="1:18" s="297" customFormat="1" ht="18.75" customHeight="1" collapsed="1">
      <c r="A250" s="527" t="s">
        <v>836</v>
      </c>
      <c r="B250" s="298" t="s">
        <v>668</v>
      </c>
      <c r="C250" s="394"/>
      <c r="D250" s="343"/>
      <c r="E250" s="344"/>
      <c r="F250" s="344"/>
      <c r="G250" s="394"/>
      <c r="H250" s="343"/>
      <c r="I250" s="346">
        <f>SUM(I251:I258)</f>
        <v>630000</v>
      </c>
      <c r="J250" s="346">
        <f t="shared" ref="J250:Q250" si="35">SUM(J251:J258)</f>
        <v>0</v>
      </c>
      <c r="K250" s="346">
        <f t="shared" si="35"/>
        <v>630000</v>
      </c>
      <c r="L250" s="346">
        <f t="shared" si="35"/>
        <v>0</v>
      </c>
      <c r="M250" s="346">
        <f t="shared" si="35"/>
        <v>0</v>
      </c>
      <c r="N250" s="346">
        <f t="shared" si="35"/>
        <v>0</v>
      </c>
      <c r="O250" s="346">
        <f t="shared" si="35"/>
        <v>630000</v>
      </c>
      <c r="P250" s="346">
        <f t="shared" si="35"/>
        <v>0</v>
      </c>
      <c r="Q250" s="346">
        <f t="shared" si="35"/>
        <v>0</v>
      </c>
      <c r="R250" s="344"/>
    </row>
    <row r="251" spans="1:18" ht="30" hidden="1" outlineLevel="1">
      <c r="A251" s="293">
        <v>1</v>
      </c>
      <c r="B251" s="255" t="s">
        <v>698</v>
      </c>
      <c r="C251" s="263" t="s">
        <v>674</v>
      </c>
      <c r="D251" s="293" t="s">
        <v>173</v>
      </c>
      <c r="E251" s="386" t="s">
        <v>699</v>
      </c>
      <c r="F251" s="337"/>
      <c r="G251" s="293" t="s">
        <v>700</v>
      </c>
      <c r="H251" s="515"/>
      <c r="I251" s="294">
        <v>70000</v>
      </c>
      <c r="J251" s="294"/>
      <c r="K251" s="294">
        <v>70000</v>
      </c>
      <c r="L251" s="292"/>
      <c r="M251" s="292"/>
      <c r="N251" s="292"/>
      <c r="O251" s="294">
        <v>70000</v>
      </c>
      <c r="P251" s="292"/>
      <c r="Q251" s="294"/>
      <c r="R251" s="321"/>
    </row>
    <row r="252" spans="1:18" ht="29.45" hidden="1" customHeight="1" outlineLevel="1">
      <c r="A252" s="293">
        <v>2</v>
      </c>
      <c r="B252" s="255" t="s">
        <v>701</v>
      </c>
      <c r="C252" s="263" t="s">
        <v>674</v>
      </c>
      <c r="D252" s="293" t="s">
        <v>173</v>
      </c>
      <c r="E252" s="386" t="s">
        <v>699</v>
      </c>
      <c r="F252" s="337"/>
      <c r="G252" s="293" t="s">
        <v>700</v>
      </c>
      <c r="H252" s="515"/>
      <c r="I252" s="294">
        <v>70000</v>
      </c>
      <c r="J252" s="294"/>
      <c r="K252" s="294">
        <v>70000</v>
      </c>
      <c r="L252" s="292"/>
      <c r="M252" s="292"/>
      <c r="N252" s="292"/>
      <c r="O252" s="294">
        <v>70000</v>
      </c>
      <c r="P252" s="292"/>
      <c r="Q252" s="294"/>
      <c r="R252" s="321"/>
    </row>
    <row r="253" spans="1:18" ht="30" hidden="1" outlineLevel="1">
      <c r="A253" s="293">
        <v>3</v>
      </c>
      <c r="B253" s="255" t="s">
        <v>702</v>
      </c>
      <c r="C253" s="263" t="s">
        <v>674</v>
      </c>
      <c r="D253" s="293" t="s">
        <v>173</v>
      </c>
      <c r="E253" s="386" t="s">
        <v>699</v>
      </c>
      <c r="F253" s="337"/>
      <c r="G253" s="293" t="s">
        <v>700</v>
      </c>
      <c r="H253" s="515"/>
      <c r="I253" s="294">
        <v>25000</v>
      </c>
      <c r="J253" s="294"/>
      <c r="K253" s="294">
        <v>25000</v>
      </c>
      <c r="L253" s="292"/>
      <c r="M253" s="292"/>
      <c r="N253" s="292"/>
      <c r="O253" s="294">
        <v>25000</v>
      </c>
      <c r="P253" s="292"/>
      <c r="Q253" s="294"/>
      <c r="R253" s="321"/>
    </row>
    <row r="254" spans="1:18" ht="30" hidden="1" outlineLevel="1">
      <c r="A254" s="293">
        <v>4</v>
      </c>
      <c r="B254" s="255" t="s">
        <v>703</v>
      </c>
      <c r="C254" s="263" t="s">
        <v>674</v>
      </c>
      <c r="D254" s="293" t="s">
        <v>173</v>
      </c>
      <c r="E254" s="386" t="s">
        <v>699</v>
      </c>
      <c r="F254" s="337"/>
      <c r="G254" s="293" t="s">
        <v>700</v>
      </c>
      <c r="H254" s="515"/>
      <c r="I254" s="294">
        <v>35000</v>
      </c>
      <c r="J254" s="294"/>
      <c r="K254" s="294">
        <v>35000</v>
      </c>
      <c r="L254" s="292"/>
      <c r="M254" s="292"/>
      <c r="N254" s="292"/>
      <c r="O254" s="294">
        <v>35000</v>
      </c>
      <c r="P254" s="292"/>
      <c r="Q254" s="294"/>
      <c r="R254" s="321"/>
    </row>
    <row r="255" spans="1:18" ht="45" hidden="1" outlineLevel="1">
      <c r="A255" s="293">
        <v>5</v>
      </c>
      <c r="B255" s="255" t="s">
        <v>704</v>
      </c>
      <c r="C255" s="263" t="s">
        <v>674</v>
      </c>
      <c r="D255" s="293" t="s">
        <v>173</v>
      </c>
      <c r="E255" s="386" t="s">
        <v>699</v>
      </c>
      <c r="F255" s="337"/>
      <c r="G255" s="293" t="s">
        <v>700</v>
      </c>
      <c r="H255" s="515"/>
      <c r="I255" s="294">
        <v>120000</v>
      </c>
      <c r="J255" s="294"/>
      <c r="K255" s="294">
        <v>120000</v>
      </c>
      <c r="L255" s="292"/>
      <c r="M255" s="292"/>
      <c r="N255" s="292"/>
      <c r="O255" s="294">
        <v>120000</v>
      </c>
      <c r="P255" s="292"/>
      <c r="Q255" s="294"/>
      <c r="R255" s="321"/>
    </row>
    <row r="256" spans="1:18" ht="30" hidden="1" outlineLevel="1">
      <c r="A256" s="293">
        <v>6</v>
      </c>
      <c r="B256" s="255" t="s">
        <v>705</v>
      </c>
      <c r="C256" s="263" t="s">
        <v>674</v>
      </c>
      <c r="D256" s="293" t="s">
        <v>173</v>
      </c>
      <c r="E256" s="386" t="s">
        <v>699</v>
      </c>
      <c r="F256" s="337"/>
      <c r="G256" s="293" t="s">
        <v>700</v>
      </c>
      <c r="H256" s="515"/>
      <c r="I256" s="294">
        <v>65000</v>
      </c>
      <c r="J256" s="294"/>
      <c r="K256" s="294">
        <v>65000</v>
      </c>
      <c r="L256" s="292"/>
      <c r="M256" s="292"/>
      <c r="N256" s="292"/>
      <c r="O256" s="294">
        <v>65000</v>
      </c>
      <c r="P256" s="292"/>
      <c r="Q256" s="294"/>
      <c r="R256" s="321"/>
    </row>
    <row r="257" spans="1:18" ht="45" hidden="1" outlineLevel="1">
      <c r="A257" s="293">
        <v>7</v>
      </c>
      <c r="B257" s="255" t="s">
        <v>706</v>
      </c>
      <c r="C257" s="263" t="s">
        <v>674</v>
      </c>
      <c r="D257" s="293" t="s">
        <v>101</v>
      </c>
      <c r="E257" s="337" t="s">
        <v>699</v>
      </c>
      <c r="F257" s="337"/>
      <c r="G257" s="293" t="s">
        <v>700</v>
      </c>
      <c r="H257" s="293"/>
      <c r="I257" s="294">
        <v>180000</v>
      </c>
      <c r="J257" s="295"/>
      <c r="K257" s="294">
        <v>180000</v>
      </c>
      <c r="L257" s="295"/>
      <c r="M257" s="295"/>
      <c r="N257" s="295"/>
      <c r="O257" s="294">
        <v>180000</v>
      </c>
      <c r="P257" s="295"/>
      <c r="Q257" s="294"/>
      <c r="R257" s="293"/>
    </row>
    <row r="258" spans="1:18" ht="30" hidden="1" outlineLevel="1">
      <c r="A258" s="293">
        <v>8</v>
      </c>
      <c r="B258" s="255" t="s">
        <v>705</v>
      </c>
      <c r="C258" s="263" t="s">
        <v>674</v>
      </c>
      <c r="D258" s="293" t="s">
        <v>173</v>
      </c>
      <c r="E258" s="337" t="s">
        <v>699</v>
      </c>
      <c r="F258" s="337"/>
      <c r="G258" s="293" t="s">
        <v>700</v>
      </c>
      <c r="H258" s="293"/>
      <c r="I258" s="294">
        <v>65000</v>
      </c>
      <c r="J258" s="295"/>
      <c r="K258" s="294">
        <v>65000</v>
      </c>
      <c r="L258" s="295"/>
      <c r="M258" s="295"/>
      <c r="N258" s="295"/>
      <c r="O258" s="294">
        <v>65000</v>
      </c>
      <c r="P258" s="295"/>
      <c r="Q258" s="294"/>
      <c r="R258" s="293"/>
    </row>
    <row r="259" spans="1:18" s="297" customFormat="1" ht="18.75" customHeight="1" collapsed="1">
      <c r="A259" s="527" t="s">
        <v>837</v>
      </c>
      <c r="B259" s="298" t="s">
        <v>179</v>
      </c>
      <c r="C259" s="394"/>
      <c r="D259" s="343"/>
      <c r="E259" s="344"/>
      <c r="F259" s="344"/>
      <c r="G259" s="394"/>
      <c r="H259" s="343"/>
      <c r="I259" s="346">
        <f>SUM(I261:I262)</f>
        <v>900000</v>
      </c>
      <c r="J259" s="346">
        <f t="shared" ref="J259:Q259" si="36">SUM(J261:J262)</f>
        <v>0</v>
      </c>
      <c r="K259" s="346">
        <f t="shared" si="36"/>
        <v>900000</v>
      </c>
      <c r="L259" s="346">
        <f t="shared" si="36"/>
        <v>0</v>
      </c>
      <c r="M259" s="346">
        <f t="shared" si="36"/>
        <v>0</v>
      </c>
      <c r="N259" s="346">
        <f t="shared" si="36"/>
        <v>0</v>
      </c>
      <c r="O259" s="346">
        <f t="shared" si="36"/>
        <v>0</v>
      </c>
      <c r="P259" s="346">
        <f t="shared" si="36"/>
        <v>0</v>
      </c>
      <c r="Q259" s="346">
        <f t="shared" si="36"/>
        <v>0</v>
      </c>
      <c r="R259" s="344"/>
    </row>
    <row r="260" spans="1:18" s="297" customFormat="1" ht="43.15" hidden="1" customHeight="1" outlineLevel="1">
      <c r="A260" s="293"/>
      <c r="B260" s="279" t="s">
        <v>711</v>
      </c>
      <c r="C260" s="263" t="s">
        <v>179</v>
      </c>
      <c r="D260" s="293" t="s">
        <v>101</v>
      </c>
      <c r="E260" s="337" t="s">
        <v>209</v>
      </c>
      <c r="F260" s="337"/>
      <c r="G260" s="454" t="s">
        <v>211</v>
      </c>
      <c r="H260" s="293" t="s">
        <v>712</v>
      </c>
      <c r="I260" s="516">
        <v>99968</v>
      </c>
      <c r="J260" s="294"/>
      <c r="K260" s="516">
        <v>99968</v>
      </c>
      <c r="L260" s="294"/>
      <c r="M260" s="294"/>
      <c r="N260" s="294"/>
      <c r="O260" s="516">
        <v>95000</v>
      </c>
      <c r="P260" s="294"/>
      <c r="Q260" s="516"/>
      <c r="R260" s="517"/>
    </row>
    <row r="261" spans="1:18" s="297" customFormat="1" ht="30" hidden="1" outlineLevel="1">
      <c r="A261" s="293"/>
      <c r="B261" s="279" t="s">
        <v>709</v>
      </c>
      <c r="C261" s="263" t="s">
        <v>179</v>
      </c>
      <c r="D261" s="293" t="s">
        <v>101</v>
      </c>
      <c r="E261" s="337" t="s">
        <v>556</v>
      </c>
      <c r="F261" s="337" t="s">
        <v>708</v>
      </c>
      <c r="G261" s="454" t="s">
        <v>278</v>
      </c>
      <c r="H261" s="293">
        <f>I261</f>
        <v>300000</v>
      </c>
      <c r="I261" s="516">
        <f>J261+K261</f>
        <v>300000</v>
      </c>
      <c r="J261" s="294"/>
      <c r="K261" s="516">
        <v>300000</v>
      </c>
      <c r="L261" s="294"/>
      <c r="M261" s="294"/>
      <c r="N261" s="294"/>
      <c r="O261" s="516">
        <f>P261+Q261</f>
        <v>0</v>
      </c>
      <c r="P261" s="294"/>
      <c r="Q261" s="516"/>
      <c r="R261" s="278" t="s">
        <v>713</v>
      </c>
    </row>
    <row r="262" spans="1:18" ht="48" hidden="1" outlineLevel="1">
      <c r="A262" s="312"/>
      <c r="B262" s="268" t="s">
        <v>710</v>
      </c>
      <c r="C262" s="256" t="s">
        <v>179</v>
      </c>
      <c r="D262" s="510" t="s">
        <v>101</v>
      </c>
      <c r="E262" s="257" t="s">
        <v>556</v>
      </c>
      <c r="F262" s="257" t="s">
        <v>708</v>
      </c>
      <c r="G262" s="454" t="s">
        <v>278</v>
      </c>
      <c r="H262" s="257" t="s">
        <v>707</v>
      </c>
      <c r="I262" s="516">
        <f>J262+K262</f>
        <v>600000</v>
      </c>
      <c r="J262" s="313"/>
      <c r="K262" s="516">
        <v>600000</v>
      </c>
      <c r="L262" s="313"/>
      <c r="M262" s="313"/>
      <c r="N262" s="313"/>
      <c r="O262" s="516">
        <f>P262+Q262</f>
        <v>0</v>
      </c>
      <c r="P262" s="313"/>
      <c r="Q262" s="516"/>
      <c r="R262" s="266" t="s">
        <v>714</v>
      </c>
    </row>
    <row r="263" spans="1:18" s="297" customFormat="1" ht="18.75" customHeight="1" collapsed="1">
      <c r="A263" s="527" t="s">
        <v>838</v>
      </c>
      <c r="B263" s="298" t="s">
        <v>669</v>
      </c>
      <c r="C263" s="394"/>
      <c r="D263" s="343"/>
      <c r="E263" s="344"/>
      <c r="F263" s="344"/>
      <c r="G263" s="394"/>
      <c r="H263" s="343"/>
      <c r="I263" s="346">
        <f>SUM(I264:I265)</f>
        <v>152000</v>
      </c>
      <c r="J263" s="346">
        <f t="shared" ref="J263:Q263" si="37">SUM(J264:J265)</f>
        <v>0</v>
      </c>
      <c r="K263" s="346">
        <f t="shared" si="37"/>
        <v>152000</v>
      </c>
      <c r="L263" s="346">
        <f t="shared" si="37"/>
        <v>0</v>
      </c>
      <c r="M263" s="346">
        <f t="shared" si="37"/>
        <v>0</v>
      </c>
      <c r="N263" s="346">
        <f t="shared" si="37"/>
        <v>0</v>
      </c>
      <c r="O263" s="346">
        <f t="shared" si="37"/>
        <v>152000</v>
      </c>
      <c r="P263" s="346">
        <f t="shared" si="37"/>
        <v>0</v>
      </c>
      <c r="Q263" s="346">
        <f t="shared" si="37"/>
        <v>0</v>
      </c>
      <c r="R263" s="344"/>
    </row>
    <row r="264" spans="1:18" ht="45" hidden="1" outlineLevel="1">
      <c r="A264" s="293">
        <v>1</v>
      </c>
      <c r="B264" s="255" t="s">
        <v>715</v>
      </c>
      <c r="C264" s="263" t="s">
        <v>669</v>
      </c>
      <c r="D264" s="293" t="s">
        <v>173</v>
      </c>
      <c r="E264" s="337" t="s">
        <v>716</v>
      </c>
      <c r="F264" s="337" t="s">
        <v>717</v>
      </c>
      <c r="G264" s="293" t="s">
        <v>700</v>
      </c>
      <c r="H264" s="293"/>
      <c r="I264" s="294">
        <v>52000</v>
      </c>
      <c r="J264" s="295"/>
      <c r="K264" s="294">
        <v>52000</v>
      </c>
      <c r="L264" s="295"/>
      <c r="M264" s="295"/>
      <c r="N264" s="295"/>
      <c r="O264" s="294">
        <v>52000</v>
      </c>
      <c r="P264" s="294"/>
      <c r="Q264" s="294"/>
      <c r="R264" s="293"/>
    </row>
    <row r="265" spans="1:18" ht="48" hidden="1" outlineLevel="1">
      <c r="A265" s="293">
        <v>2</v>
      </c>
      <c r="B265" s="279" t="s">
        <v>718</v>
      </c>
      <c r="C265" s="263" t="s">
        <v>669</v>
      </c>
      <c r="D265" s="293" t="s">
        <v>173</v>
      </c>
      <c r="E265" s="337" t="s">
        <v>719</v>
      </c>
      <c r="F265" s="337" t="s">
        <v>720</v>
      </c>
      <c r="G265" s="293" t="s">
        <v>700</v>
      </c>
      <c r="H265" s="518"/>
      <c r="I265" s="294">
        <v>100000</v>
      </c>
      <c r="J265" s="519"/>
      <c r="K265" s="294">
        <v>100000</v>
      </c>
      <c r="L265" s="519"/>
      <c r="M265" s="519"/>
      <c r="N265" s="519"/>
      <c r="O265" s="294">
        <v>100000</v>
      </c>
      <c r="P265" s="294"/>
      <c r="Q265" s="294"/>
      <c r="R265" s="520"/>
    </row>
    <row r="266" spans="1:18" s="297" customFormat="1" ht="18.75" customHeight="1" collapsed="1">
      <c r="A266" s="527" t="s">
        <v>839</v>
      </c>
      <c r="B266" s="298" t="s">
        <v>180</v>
      </c>
      <c r="C266" s="394"/>
      <c r="D266" s="343"/>
      <c r="E266" s="344"/>
      <c r="F266" s="344"/>
      <c r="G266" s="394"/>
      <c r="H266" s="343"/>
      <c r="I266" s="346">
        <f>SUM(I267:I269)</f>
        <v>310000</v>
      </c>
      <c r="J266" s="346">
        <f t="shared" ref="J266:Q266" si="38">SUM(J267:J269)</f>
        <v>0</v>
      </c>
      <c r="K266" s="346">
        <f t="shared" si="38"/>
        <v>248000</v>
      </c>
      <c r="L266" s="346">
        <f t="shared" si="38"/>
        <v>0</v>
      </c>
      <c r="M266" s="346">
        <f t="shared" si="38"/>
        <v>0</v>
      </c>
      <c r="N266" s="346">
        <f t="shared" si="38"/>
        <v>0</v>
      </c>
      <c r="O266" s="346">
        <f t="shared" si="38"/>
        <v>248000</v>
      </c>
      <c r="P266" s="346">
        <f t="shared" si="38"/>
        <v>0</v>
      </c>
      <c r="Q266" s="346">
        <f t="shared" si="38"/>
        <v>0</v>
      </c>
      <c r="R266" s="344"/>
    </row>
    <row r="267" spans="1:18" ht="45" hidden="1" outlineLevel="1">
      <c r="A267" s="293">
        <v>1</v>
      </c>
      <c r="B267" s="255" t="s">
        <v>721</v>
      </c>
      <c r="C267" s="263" t="s">
        <v>180</v>
      </c>
      <c r="D267" s="293" t="s">
        <v>173</v>
      </c>
      <c r="E267" s="337" t="s">
        <v>722</v>
      </c>
      <c r="F267" s="337" t="s">
        <v>723</v>
      </c>
      <c r="G267" s="293" t="s">
        <v>300</v>
      </c>
      <c r="H267" s="293"/>
      <c r="I267" s="294">
        <v>90000</v>
      </c>
      <c r="J267" s="295"/>
      <c r="K267" s="295">
        <v>72000</v>
      </c>
      <c r="L267" s="295"/>
      <c r="M267" s="295"/>
      <c r="N267" s="295"/>
      <c r="O267" s="294">
        <v>72000</v>
      </c>
      <c r="P267" s="295"/>
      <c r="Q267" s="295"/>
      <c r="R267" s="293"/>
    </row>
    <row r="268" spans="1:18" ht="30" hidden="1" outlineLevel="1">
      <c r="A268" s="293">
        <v>2</v>
      </c>
      <c r="B268" s="279" t="s">
        <v>724</v>
      </c>
      <c r="C268" s="263" t="s">
        <v>180</v>
      </c>
      <c r="D268" s="293" t="s">
        <v>173</v>
      </c>
      <c r="E268" s="337" t="s">
        <v>725</v>
      </c>
      <c r="F268" s="337" t="s">
        <v>726</v>
      </c>
      <c r="G268" s="293" t="s">
        <v>300</v>
      </c>
      <c r="H268" s="293"/>
      <c r="I268" s="294">
        <v>120000</v>
      </c>
      <c r="J268" s="295"/>
      <c r="K268" s="295">
        <v>96000</v>
      </c>
      <c r="L268" s="295"/>
      <c r="M268" s="295"/>
      <c r="N268" s="295"/>
      <c r="O268" s="294">
        <v>96000</v>
      </c>
      <c r="P268" s="295"/>
      <c r="Q268" s="295"/>
      <c r="R268" s="520"/>
    </row>
    <row r="269" spans="1:18" ht="60" hidden="1" outlineLevel="1">
      <c r="A269" s="293">
        <v>3</v>
      </c>
      <c r="B269" s="279" t="s">
        <v>727</v>
      </c>
      <c r="C269" s="263" t="s">
        <v>180</v>
      </c>
      <c r="D269" s="293" t="s">
        <v>173</v>
      </c>
      <c r="E269" s="337" t="s">
        <v>728</v>
      </c>
      <c r="F269" s="337" t="s">
        <v>729</v>
      </c>
      <c r="G269" s="293" t="s">
        <v>300</v>
      </c>
      <c r="H269" s="293"/>
      <c r="I269" s="294">
        <v>100000</v>
      </c>
      <c r="J269" s="295"/>
      <c r="K269" s="295">
        <v>80000</v>
      </c>
      <c r="L269" s="295"/>
      <c r="M269" s="295"/>
      <c r="N269" s="295"/>
      <c r="O269" s="294">
        <v>80000</v>
      </c>
      <c r="P269" s="295"/>
      <c r="Q269" s="295"/>
      <c r="R269" s="520"/>
    </row>
    <row r="270" spans="1:18" s="297" customFormat="1" ht="18.75" customHeight="1" collapsed="1">
      <c r="A270" s="527" t="s">
        <v>840</v>
      </c>
      <c r="B270" s="298" t="s">
        <v>730</v>
      </c>
      <c r="C270" s="394"/>
      <c r="D270" s="343"/>
      <c r="E270" s="344"/>
      <c r="F270" s="344"/>
      <c r="G270" s="394"/>
      <c r="H270" s="343"/>
      <c r="I270" s="346">
        <f>SUM(I271:I272)</f>
        <v>276000</v>
      </c>
      <c r="J270" s="346">
        <f t="shared" ref="J270:Q270" si="39">SUM(J271:J272)</f>
        <v>0</v>
      </c>
      <c r="K270" s="346">
        <f t="shared" si="39"/>
        <v>276000</v>
      </c>
      <c r="L270" s="346">
        <f t="shared" si="39"/>
        <v>0</v>
      </c>
      <c r="M270" s="346">
        <f t="shared" si="39"/>
        <v>0</v>
      </c>
      <c r="N270" s="346">
        <f t="shared" si="39"/>
        <v>0</v>
      </c>
      <c r="O270" s="346">
        <f t="shared" si="39"/>
        <v>276000</v>
      </c>
      <c r="P270" s="346">
        <f t="shared" si="39"/>
        <v>0</v>
      </c>
      <c r="Q270" s="346">
        <f t="shared" si="39"/>
        <v>0</v>
      </c>
      <c r="R270" s="344"/>
    </row>
    <row r="271" spans="1:18" ht="45" hidden="1" outlineLevel="1">
      <c r="A271" s="293">
        <v>1</v>
      </c>
      <c r="B271" s="255" t="s">
        <v>731</v>
      </c>
      <c r="C271" s="263" t="s">
        <v>732</v>
      </c>
      <c r="D271" s="293" t="s">
        <v>101</v>
      </c>
      <c r="E271" s="337" t="s">
        <v>733</v>
      </c>
      <c r="F271" s="337" t="s">
        <v>734</v>
      </c>
      <c r="G271" s="293" t="s">
        <v>211</v>
      </c>
      <c r="H271" s="293"/>
      <c r="I271" s="294">
        <v>180000</v>
      </c>
      <c r="J271" s="295"/>
      <c r="K271" s="295">
        <v>180000</v>
      </c>
      <c r="L271" s="295"/>
      <c r="M271" s="295"/>
      <c r="N271" s="295"/>
      <c r="O271" s="294">
        <v>180000</v>
      </c>
      <c r="P271" s="295"/>
      <c r="Q271" s="295"/>
      <c r="R271" s="293"/>
    </row>
    <row r="272" spans="1:18" ht="30" hidden="1" outlineLevel="1">
      <c r="A272" s="293">
        <v>2</v>
      </c>
      <c r="B272" s="255" t="s">
        <v>735</v>
      </c>
      <c r="C272" s="263" t="s">
        <v>732</v>
      </c>
      <c r="D272" s="293" t="s">
        <v>173</v>
      </c>
      <c r="E272" s="337" t="s">
        <v>736</v>
      </c>
      <c r="F272" s="337" t="s">
        <v>737</v>
      </c>
      <c r="G272" s="293" t="s">
        <v>212</v>
      </c>
      <c r="H272" s="293"/>
      <c r="I272" s="294">
        <v>96000</v>
      </c>
      <c r="J272" s="295"/>
      <c r="K272" s="295">
        <v>96000</v>
      </c>
      <c r="L272" s="295"/>
      <c r="M272" s="295"/>
      <c r="N272" s="295"/>
      <c r="O272" s="294">
        <v>96000</v>
      </c>
      <c r="P272" s="295"/>
      <c r="Q272" s="295"/>
      <c r="R272" s="293"/>
    </row>
    <row r="273" spans="1:19" s="297" customFormat="1" ht="18.75" customHeight="1" collapsed="1">
      <c r="A273" s="527" t="s">
        <v>841</v>
      </c>
      <c r="B273" s="298" t="s">
        <v>186</v>
      </c>
      <c r="C273" s="394"/>
      <c r="D273" s="343"/>
      <c r="E273" s="344"/>
      <c r="F273" s="344"/>
      <c r="G273" s="394"/>
      <c r="H273" s="343"/>
      <c r="I273" s="346">
        <f>SUM(I274:I276)</f>
        <v>120000</v>
      </c>
      <c r="J273" s="346">
        <f t="shared" ref="J273:Q273" si="40">SUM(J274:J276)</f>
        <v>0</v>
      </c>
      <c r="K273" s="346">
        <f t="shared" si="40"/>
        <v>120000</v>
      </c>
      <c r="L273" s="346">
        <f t="shared" si="40"/>
        <v>0</v>
      </c>
      <c r="M273" s="346">
        <f t="shared" si="40"/>
        <v>0</v>
      </c>
      <c r="N273" s="346">
        <f t="shared" si="40"/>
        <v>0</v>
      </c>
      <c r="O273" s="346">
        <f t="shared" si="40"/>
        <v>120000</v>
      </c>
      <c r="P273" s="346">
        <f t="shared" si="40"/>
        <v>0</v>
      </c>
      <c r="Q273" s="346">
        <f t="shared" si="40"/>
        <v>0</v>
      </c>
      <c r="R273" s="344"/>
    </row>
    <row r="274" spans="1:19" s="297" customFormat="1" ht="30" hidden="1" outlineLevel="1">
      <c r="A274" s="293">
        <v>1</v>
      </c>
      <c r="B274" s="255" t="s">
        <v>738</v>
      </c>
      <c r="C274" s="263" t="s">
        <v>186</v>
      </c>
      <c r="D274" s="293" t="s">
        <v>173</v>
      </c>
      <c r="E274" s="337" t="s">
        <v>739</v>
      </c>
      <c r="F274" s="337"/>
      <c r="G274" s="293" t="s">
        <v>212</v>
      </c>
      <c r="H274" s="293"/>
      <c r="I274" s="294">
        <v>25000</v>
      </c>
      <c r="J274" s="295"/>
      <c r="K274" s="294">
        <v>25000</v>
      </c>
      <c r="L274" s="295"/>
      <c r="M274" s="295"/>
      <c r="N274" s="295"/>
      <c r="O274" s="294">
        <v>25000</v>
      </c>
      <c r="P274" s="294"/>
      <c r="Q274" s="294"/>
      <c r="R274" s="293"/>
    </row>
    <row r="275" spans="1:19" s="297" customFormat="1" ht="30" hidden="1" outlineLevel="1">
      <c r="A275" s="293">
        <v>2</v>
      </c>
      <c r="B275" s="255" t="s">
        <v>740</v>
      </c>
      <c r="C275" s="263" t="s">
        <v>186</v>
      </c>
      <c r="D275" s="293" t="s">
        <v>173</v>
      </c>
      <c r="E275" s="337" t="s">
        <v>233</v>
      </c>
      <c r="F275" s="337"/>
      <c r="G275" s="293" t="s">
        <v>212</v>
      </c>
      <c r="H275" s="293"/>
      <c r="I275" s="294">
        <v>20000</v>
      </c>
      <c r="J275" s="295"/>
      <c r="K275" s="294">
        <v>20000</v>
      </c>
      <c r="L275" s="295"/>
      <c r="M275" s="295"/>
      <c r="N275" s="295"/>
      <c r="O275" s="294">
        <v>20000</v>
      </c>
      <c r="P275" s="294"/>
      <c r="Q275" s="294"/>
      <c r="R275" s="293"/>
    </row>
    <row r="276" spans="1:19" s="297" customFormat="1" ht="30" hidden="1" outlineLevel="1">
      <c r="A276" s="293">
        <v>3</v>
      </c>
      <c r="B276" s="255" t="s">
        <v>741</v>
      </c>
      <c r="C276" s="263" t="s">
        <v>186</v>
      </c>
      <c r="D276" s="293" t="s">
        <v>173</v>
      </c>
      <c r="E276" s="337" t="s">
        <v>233</v>
      </c>
      <c r="F276" s="337"/>
      <c r="G276" s="293" t="s">
        <v>212</v>
      </c>
      <c r="H276" s="293"/>
      <c r="I276" s="294">
        <v>75000</v>
      </c>
      <c r="J276" s="295"/>
      <c r="K276" s="294">
        <v>75000</v>
      </c>
      <c r="L276" s="295"/>
      <c r="M276" s="295"/>
      <c r="N276" s="295"/>
      <c r="O276" s="294">
        <v>75000</v>
      </c>
      <c r="P276" s="294"/>
      <c r="Q276" s="294"/>
      <c r="R276" s="293"/>
    </row>
    <row r="277" spans="1:19" s="297" customFormat="1" ht="18.75" customHeight="1" collapsed="1">
      <c r="A277" s="527" t="s">
        <v>842</v>
      </c>
      <c r="B277" s="298" t="s">
        <v>187</v>
      </c>
      <c r="C277" s="394"/>
      <c r="D277" s="343"/>
      <c r="E277" s="344"/>
      <c r="F277" s="344"/>
      <c r="G277" s="394"/>
      <c r="H277" s="343"/>
      <c r="I277" s="346">
        <f>SUM(I278:I287)</f>
        <v>368390</v>
      </c>
      <c r="J277" s="346">
        <f t="shared" ref="J277:Q277" si="41">SUM(J278:J287)</f>
        <v>0</v>
      </c>
      <c r="K277" s="346">
        <f t="shared" si="41"/>
        <v>368390</v>
      </c>
      <c r="L277" s="346">
        <f t="shared" si="41"/>
        <v>0</v>
      </c>
      <c r="M277" s="346">
        <f t="shared" si="41"/>
        <v>0</v>
      </c>
      <c r="N277" s="346">
        <f t="shared" si="41"/>
        <v>0</v>
      </c>
      <c r="O277" s="346">
        <f t="shared" si="41"/>
        <v>368390</v>
      </c>
      <c r="P277" s="346">
        <f t="shared" si="41"/>
        <v>0</v>
      </c>
      <c r="Q277" s="346">
        <f t="shared" si="41"/>
        <v>0</v>
      </c>
      <c r="R277" s="344"/>
    </row>
    <row r="278" spans="1:19" ht="45" hidden="1" outlineLevel="1">
      <c r="A278" s="293">
        <v>1</v>
      </c>
      <c r="B278" s="255" t="s">
        <v>759</v>
      </c>
      <c r="C278" s="263" t="s">
        <v>187</v>
      </c>
      <c r="D278" s="293" t="s">
        <v>173</v>
      </c>
      <c r="E278" s="386" t="s">
        <v>760</v>
      </c>
      <c r="F278" s="337" t="s">
        <v>761</v>
      </c>
      <c r="G278" s="293"/>
      <c r="H278" s="486"/>
      <c r="I278" s="456">
        <v>30000</v>
      </c>
      <c r="J278" s="294"/>
      <c r="K278" s="294">
        <v>30000</v>
      </c>
      <c r="L278" s="294"/>
      <c r="M278" s="294"/>
      <c r="N278" s="294"/>
      <c r="O278" s="294">
        <v>30000</v>
      </c>
      <c r="P278" s="294"/>
      <c r="Q278" s="294"/>
      <c r="R278" s="516"/>
      <c r="S278" s="521">
        <f>Q278</f>
        <v>0</v>
      </c>
    </row>
    <row r="279" spans="1:19" ht="30" hidden="1" outlineLevel="1">
      <c r="A279" s="293">
        <v>2</v>
      </c>
      <c r="B279" s="255" t="s">
        <v>762</v>
      </c>
      <c r="C279" s="263" t="s">
        <v>187</v>
      </c>
      <c r="D279" s="293" t="s">
        <v>173</v>
      </c>
      <c r="E279" s="386" t="s">
        <v>760</v>
      </c>
      <c r="F279" s="337" t="s">
        <v>763</v>
      </c>
      <c r="G279" s="293"/>
      <c r="H279" s="486"/>
      <c r="I279" s="456">
        <v>50000</v>
      </c>
      <c r="J279" s="294"/>
      <c r="K279" s="294">
        <v>50000</v>
      </c>
      <c r="L279" s="294"/>
      <c r="M279" s="294"/>
      <c r="N279" s="294"/>
      <c r="O279" s="294">
        <v>50000</v>
      </c>
      <c r="P279" s="294"/>
      <c r="Q279" s="294"/>
      <c r="R279" s="516"/>
      <c r="S279" s="521">
        <v>50</v>
      </c>
    </row>
    <row r="280" spans="1:19" ht="90" hidden="1" outlineLevel="1">
      <c r="A280" s="293">
        <v>3</v>
      </c>
      <c r="B280" s="255" t="s">
        <v>764</v>
      </c>
      <c r="C280" s="263" t="s">
        <v>187</v>
      </c>
      <c r="D280" s="293" t="s">
        <v>173</v>
      </c>
      <c r="E280" s="386" t="s">
        <v>765</v>
      </c>
      <c r="F280" s="337" t="s">
        <v>766</v>
      </c>
      <c r="G280" s="293"/>
      <c r="H280" s="486"/>
      <c r="I280" s="456">
        <v>14500</v>
      </c>
      <c r="J280" s="294"/>
      <c r="K280" s="294">
        <v>14500</v>
      </c>
      <c r="L280" s="294"/>
      <c r="M280" s="294"/>
      <c r="N280" s="294"/>
      <c r="O280" s="294">
        <v>14500</v>
      </c>
      <c r="P280" s="294"/>
      <c r="Q280" s="294"/>
      <c r="R280" s="516"/>
      <c r="S280" s="521">
        <f>Q280</f>
        <v>0</v>
      </c>
    </row>
    <row r="281" spans="1:19" ht="30" hidden="1" outlineLevel="1">
      <c r="A281" s="293">
        <v>4</v>
      </c>
      <c r="B281" s="255" t="s">
        <v>767</v>
      </c>
      <c r="C281" s="263" t="s">
        <v>187</v>
      </c>
      <c r="D281" s="293" t="s">
        <v>173</v>
      </c>
      <c r="E281" s="386" t="s">
        <v>768</v>
      </c>
      <c r="F281" s="337" t="s">
        <v>769</v>
      </c>
      <c r="G281" s="293"/>
      <c r="H281" s="486"/>
      <c r="I281" s="456">
        <v>40000</v>
      </c>
      <c r="J281" s="294"/>
      <c r="K281" s="294">
        <v>40000</v>
      </c>
      <c r="L281" s="294"/>
      <c r="M281" s="294"/>
      <c r="N281" s="294"/>
      <c r="O281" s="294">
        <v>40000</v>
      </c>
      <c r="P281" s="294"/>
      <c r="Q281" s="294"/>
      <c r="R281" s="516"/>
      <c r="S281" s="521">
        <v>40</v>
      </c>
    </row>
    <row r="282" spans="1:19" ht="60" hidden="1" outlineLevel="1">
      <c r="A282" s="293">
        <v>5</v>
      </c>
      <c r="B282" s="255" t="s">
        <v>770</v>
      </c>
      <c r="C282" s="263" t="s">
        <v>187</v>
      </c>
      <c r="D282" s="293" t="s">
        <v>173</v>
      </c>
      <c r="E282" s="337" t="s">
        <v>771</v>
      </c>
      <c r="F282" s="337" t="s">
        <v>772</v>
      </c>
      <c r="G282" s="293"/>
      <c r="H282" s="293"/>
      <c r="I282" s="456">
        <v>14900</v>
      </c>
      <c r="J282" s="295"/>
      <c r="K282" s="295">
        <v>14900</v>
      </c>
      <c r="L282" s="295"/>
      <c r="M282" s="295"/>
      <c r="N282" s="295"/>
      <c r="O282" s="294">
        <v>14900</v>
      </c>
      <c r="P282" s="295"/>
      <c r="Q282" s="295"/>
      <c r="R282" s="293"/>
      <c r="S282" s="521">
        <v>14.9</v>
      </c>
    </row>
    <row r="283" spans="1:19" ht="30" hidden="1" outlineLevel="1">
      <c r="A283" s="293">
        <v>6</v>
      </c>
      <c r="B283" s="255" t="s">
        <v>773</v>
      </c>
      <c r="C283" s="263" t="s">
        <v>187</v>
      </c>
      <c r="D283" s="293" t="s">
        <v>173</v>
      </c>
      <c r="E283" s="337" t="s">
        <v>774</v>
      </c>
      <c r="F283" s="337" t="s">
        <v>775</v>
      </c>
      <c r="G283" s="293"/>
      <c r="H283" s="293"/>
      <c r="I283" s="456">
        <v>24000</v>
      </c>
      <c r="J283" s="295"/>
      <c r="K283" s="295">
        <v>24000</v>
      </c>
      <c r="L283" s="295"/>
      <c r="M283" s="295"/>
      <c r="N283" s="295"/>
      <c r="O283" s="294">
        <v>24000</v>
      </c>
      <c r="P283" s="295"/>
      <c r="Q283" s="295"/>
      <c r="R283" s="293"/>
      <c r="S283" s="521">
        <v>24</v>
      </c>
    </row>
    <row r="284" spans="1:19" ht="45" hidden="1" outlineLevel="1">
      <c r="A284" s="293">
        <v>7</v>
      </c>
      <c r="B284" s="255" t="s">
        <v>776</v>
      </c>
      <c r="C284" s="263" t="s">
        <v>187</v>
      </c>
      <c r="D284" s="293" t="s">
        <v>173</v>
      </c>
      <c r="E284" s="337" t="s">
        <v>760</v>
      </c>
      <c r="F284" s="337" t="s">
        <v>777</v>
      </c>
      <c r="G284" s="293"/>
      <c r="H284" s="293"/>
      <c r="I284" s="456">
        <v>40000</v>
      </c>
      <c r="J284" s="295"/>
      <c r="K284" s="295">
        <v>40000</v>
      </c>
      <c r="L284" s="295"/>
      <c r="M284" s="295"/>
      <c r="N284" s="295"/>
      <c r="O284" s="294">
        <v>40000</v>
      </c>
      <c r="P284" s="295"/>
      <c r="Q284" s="295"/>
      <c r="R284" s="293"/>
      <c r="S284" s="521">
        <v>40</v>
      </c>
    </row>
    <row r="285" spans="1:19" ht="45" hidden="1" outlineLevel="1">
      <c r="A285" s="293">
        <v>8</v>
      </c>
      <c r="B285" s="255" t="s">
        <v>778</v>
      </c>
      <c r="C285" s="263" t="s">
        <v>187</v>
      </c>
      <c r="D285" s="293" t="s">
        <v>173</v>
      </c>
      <c r="E285" s="337" t="s">
        <v>779</v>
      </c>
      <c r="F285" s="337" t="s">
        <v>780</v>
      </c>
      <c r="G285" s="293"/>
      <c r="H285" s="293"/>
      <c r="I285" s="456">
        <v>79990</v>
      </c>
      <c r="J285" s="295"/>
      <c r="K285" s="295">
        <v>79990</v>
      </c>
      <c r="L285" s="295"/>
      <c r="M285" s="295"/>
      <c r="N285" s="295"/>
      <c r="O285" s="294">
        <v>79990</v>
      </c>
      <c r="P285" s="295"/>
      <c r="Q285" s="295"/>
      <c r="R285" s="293"/>
      <c r="S285" s="521">
        <f>Q285</f>
        <v>0</v>
      </c>
    </row>
    <row r="286" spans="1:19" ht="30" hidden="1" outlineLevel="1">
      <c r="A286" s="293">
        <v>9</v>
      </c>
      <c r="B286" s="279" t="s">
        <v>781</v>
      </c>
      <c r="C286" s="263" t="s">
        <v>187</v>
      </c>
      <c r="D286" s="293" t="s">
        <v>173</v>
      </c>
      <c r="E286" s="337" t="s">
        <v>782</v>
      </c>
      <c r="F286" s="337" t="s">
        <v>783</v>
      </c>
      <c r="G286" s="293"/>
      <c r="H286" s="293"/>
      <c r="I286" s="456">
        <v>50000</v>
      </c>
      <c r="J286" s="295"/>
      <c r="K286" s="295">
        <v>50000</v>
      </c>
      <c r="L286" s="295"/>
      <c r="M286" s="295"/>
      <c r="N286" s="295"/>
      <c r="O286" s="294">
        <v>50000</v>
      </c>
      <c r="P286" s="295"/>
      <c r="Q286" s="295"/>
      <c r="R286" s="486"/>
      <c r="S286" s="521">
        <f>Q286</f>
        <v>0</v>
      </c>
    </row>
    <row r="287" spans="1:19" ht="30" hidden="1" outlineLevel="1">
      <c r="A287" s="293">
        <v>10</v>
      </c>
      <c r="B287" s="279" t="s">
        <v>784</v>
      </c>
      <c r="C287" s="263" t="s">
        <v>187</v>
      </c>
      <c r="D287" s="293" t="s">
        <v>173</v>
      </c>
      <c r="E287" s="337" t="s">
        <v>771</v>
      </c>
      <c r="F287" s="337" t="s">
        <v>785</v>
      </c>
      <c r="G287" s="293"/>
      <c r="H287" s="293"/>
      <c r="I287" s="456">
        <v>25000</v>
      </c>
      <c r="J287" s="295"/>
      <c r="K287" s="295">
        <v>25000</v>
      </c>
      <c r="L287" s="295"/>
      <c r="M287" s="295"/>
      <c r="N287" s="295"/>
      <c r="O287" s="294">
        <v>25000</v>
      </c>
      <c r="P287" s="295"/>
      <c r="Q287" s="295"/>
      <c r="R287" s="486"/>
      <c r="S287" s="522">
        <f>Q287</f>
        <v>0</v>
      </c>
    </row>
    <row r="288" spans="1:19" s="297" customFormat="1" ht="18.75" customHeight="1" collapsed="1">
      <c r="A288" s="527" t="s">
        <v>843</v>
      </c>
      <c r="B288" s="298" t="s">
        <v>670</v>
      </c>
      <c r="C288" s="394"/>
      <c r="D288" s="343"/>
      <c r="E288" s="344"/>
      <c r="F288" s="344"/>
      <c r="G288" s="394"/>
      <c r="H288" s="343"/>
      <c r="I288" s="346">
        <f>SUM(I289:I295)</f>
        <v>172000</v>
      </c>
      <c r="J288" s="346">
        <f t="shared" ref="J288:Q288" si="42">SUM(J289:J295)</f>
        <v>0</v>
      </c>
      <c r="K288" s="346">
        <f t="shared" si="42"/>
        <v>156943</v>
      </c>
      <c r="L288" s="346">
        <f t="shared" si="42"/>
        <v>0</v>
      </c>
      <c r="M288" s="346">
        <f t="shared" si="42"/>
        <v>0</v>
      </c>
      <c r="N288" s="346">
        <f t="shared" si="42"/>
        <v>0</v>
      </c>
      <c r="O288" s="346">
        <f t="shared" si="42"/>
        <v>120000</v>
      </c>
      <c r="P288" s="346">
        <f t="shared" si="42"/>
        <v>0</v>
      </c>
      <c r="Q288" s="346">
        <f t="shared" si="42"/>
        <v>0</v>
      </c>
      <c r="R288" s="344"/>
    </row>
    <row r="289" spans="1:18" ht="30" hidden="1" outlineLevel="1">
      <c r="A289" s="293">
        <v>1</v>
      </c>
      <c r="B289" s="255" t="s">
        <v>742</v>
      </c>
      <c r="C289" s="263" t="s">
        <v>670</v>
      </c>
      <c r="D289" s="293" t="s">
        <v>101</v>
      </c>
      <c r="E289" s="337" t="s">
        <v>743</v>
      </c>
      <c r="F289" s="337"/>
      <c r="G289" s="293" t="s">
        <v>176</v>
      </c>
      <c r="H289" s="293"/>
      <c r="I289" s="294">
        <v>80000</v>
      </c>
      <c r="J289" s="295"/>
      <c r="K289" s="294">
        <v>64943</v>
      </c>
      <c r="L289" s="294"/>
      <c r="M289" s="294"/>
      <c r="N289" s="294"/>
      <c r="O289" s="294">
        <v>28000</v>
      </c>
      <c r="P289" s="294"/>
      <c r="Q289" s="294"/>
      <c r="R289" s="293"/>
    </row>
    <row r="290" spans="1:18" ht="30" hidden="1" outlineLevel="1">
      <c r="A290" s="293">
        <v>2</v>
      </c>
      <c r="B290" s="255" t="s">
        <v>744</v>
      </c>
      <c r="C290" s="263" t="s">
        <v>670</v>
      </c>
      <c r="D290" s="293" t="s">
        <v>173</v>
      </c>
      <c r="E290" s="337" t="s">
        <v>745</v>
      </c>
      <c r="F290" s="337"/>
      <c r="G290" s="293" t="s">
        <v>300</v>
      </c>
      <c r="H290" s="293"/>
      <c r="I290" s="294">
        <v>25000</v>
      </c>
      <c r="J290" s="295"/>
      <c r="K290" s="294">
        <v>25000</v>
      </c>
      <c r="L290" s="294"/>
      <c r="M290" s="294"/>
      <c r="N290" s="294"/>
      <c r="O290" s="294">
        <v>25000</v>
      </c>
      <c r="P290" s="294"/>
      <c r="Q290" s="294"/>
      <c r="R290" s="293"/>
    </row>
    <row r="291" spans="1:18" ht="30" hidden="1" outlineLevel="1">
      <c r="A291" s="293">
        <v>3</v>
      </c>
      <c r="B291" s="255" t="s">
        <v>746</v>
      </c>
      <c r="C291" s="263" t="s">
        <v>670</v>
      </c>
      <c r="D291" s="293" t="s">
        <v>173</v>
      </c>
      <c r="E291" s="337" t="s">
        <v>743</v>
      </c>
      <c r="F291" s="337" t="s">
        <v>747</v>
      </c>
      <c r="G291" s="293" t="s">
        <v>300</v>
      </c>
      <c r="H291" s="293"/>
      <c r="I291" s="294">
        <v>20000</v>
      </c>
      <c r="J291" s="295"/>
      <c r="K291" s="294">
        <v>20000</v>
      </c>
      <c r="L291" s="294"/>
      <c r="M291" s="294"/>
      <c r="N291" s="294"/>
      <c r="O291" s="294">
        <v>20000</v>
      </c>
      <c r="P291" s="294"/>
      <c r="Q291" s="294"/>
      <c r="R291" s="293"/>
    </row>
    <row r="292" spans="1:18" ht="30" hidden="1" outlineLevel="1">
      <c r="A292" s="293">
        <v>4</v>
      </c>
      <c r="B292" s="255" t="s">
        <v>748</v>
      </c>
      <c r="C292" s="263" t="s">
        <v>670</v>
      </c>
      <c r="D292" s="293" t="s">
        <v>173</v>
      </c>
      <c r="E292" s="337" t="s">
        <v>749</v>
      </c>
      <c r="F292" s="337" t="s">
        <v>750</v>
      </c>
      <c r="G292" s="293" t="s">
        <v>300</v>
      </c>
      <c r="H292" s="293"/>
      <c r="I292" s="294">
        <v>15000</v>
      </c>
      <c r="J292" s="295"/>
      <c r="K292" s="294">
        <v>15000</v>
      </c>
      <c r="L292" s="294"/>
      <c r="M292" s="294"/>
      <c r="N292" s="294"/>
      <c r="O292" s="294">
        <v>15000</v>
      </c>
      <c r="P292" s="294"/>
      <c r="Q292" s="294"/>
      <c r="R292" s="293"/>
    </row>
    <row r="293" spans="1:18" ht="30" hidden="1" outlineLevel="1">
      <c r="A293" s="293">
        <v>5</v>
      </c>
      <c r="B293" s="255" t="s">
        <v>751</v>
      </c>
      <c r="C293" s="263" t="s">
        <v>670</v>
      </c>
      <c r="D293" s="293" t="s">
        <v>173</v>
      </c>
      <c r="E293" s="337" t="s">
        <v>752</v>
      </c>
      <c r="F293" s="337" t="s">
        <v>753</v>
      </c>
      <c r="G293" s="293" t="s">
        <v>300</v>
      </c>
      <c r="H293" s="293"/>
      <c r="I293" s="294">
        <v>15000</v>
      </c>
      <c r="J293" s="295"/>
      <c r="K293" s="294">
        <v>15000</v>
      </c>
      <c r="L293" s="294"/>
      <c r="M293" s="294"/>
      <c r="N293" s="294"/>
      <c r="O293" s="294">
        <v>15000</v>
      </c>
      <c r="P293" s="294"/>
      <c r="Q293" s="294"/>
      <c r="R293" s="293"/>
    </row>
    <row r="294" spans="1:18" ht="30" hidden="1" outlineLevel="1">
      <c r="A294" s="293">
        <v>6</v>
      </c>
      <c r="B294" s="255" t="s">
        <v>754</v>
      </c>
      <c r="C294" s="263" t="s">
        <v>670</v>
      </c>
      <c r="D294" s="293" t="s">
        <v>173</v>
      </c>
      <c r="E294" s="337" t="s">
        <v>752</v>
      </c>
      <c r="F294" s="337" t="s">
        <v>755</v>
      </c>
      <c r="G294" s="293" t="s">
        <v>212</v>
      </c>
      <c r="H294" s="293"/>
      <c r="I294" s="294">
        <v>10000</v>
      </c>
      <c r="J294" s="295"/>
      <c r="K294" s="294">
        <v>10000</v>
      </c>
      <c r="L294" s="294"/>
      <c r="M294" s="294"/>
      <c r="N294" s="294"/>
      <c r="O294" s="294">
        <v>10000</v>
      </c>
      <c r="P294" s="294"/>
      <c r="Q294" s="294"/>
      <c r="R294" s="293"/>
    </row>
    <row r="295" spans="1:18" ht="30" hidden="1" outlineLevel="1">
      <c r="A295" s="293">
        <v>7</v>
      </c>
      <c r="B295" s="255" t="s">
        <v>756</v>
      </c>
      <c r="C295" s="263" t="s">
        <v>670</v>
      </c>
      <c r="D295" s="293" t="s">
        <v>173</v>
      </c>
      <c r="E295" s="337" t="s">
        <v>757</v>
      </c>
      <c r="F295" s="337" t="s">
        <v>758</v>
      </c>
      <c r="G295" s="293" t="s">
        <v>300</v>
      </c>
      <c r="H295" s="293"/>
      <c r="I295" s="294">
        <v>7000</v>
      </c>
      <c r="J295" s="295"/>
      <c r="K295" s="294">
        <v>7000</v>
      </c>
      <c r="L295" s="294"/>
      <c r="M295" s="294"/>
      <c r="N295" s="294"/>
      <c r="O295" s="294">
        <v>7000</v>
      </c>
      <c r="P295" s="294"/>
      <c r="Q295" s="294"/>
      <c r="R295" s="293"/>
    </row>
    <row r="296" spans="1:18" s="297" customFormat="1" ht="18.75" customHeight="1" collapsed="1">
      <c r="A296" s="527" t="s">
        <v>844</v>
      </c>
      <c r="B296" s="298" t="s">
        <v>188</v>
      </c>
      <c r="C296" s="394"/>
      <c r="D296" s="343"/>
      <c r="E296" s="344"/>
      <c r="F296" s="344"/>
      <c r="G296" s="394"/>
      <c r="H296" s="343"/>
      <c r="I296" s="346">
        <f>SUM(I297:I302)</f>
        <v>355000</v>
      </c>
      <c r="J296" s="346">
        <f t="shared" ref="J296:Q296" si="43">SUM(J297:J302)</f>
        <v>0</v>
      </c>
      <c r="K296" s="346">
        <f t="shared" si="43"/>
        <v>355000</v>
      </c>
      <c r="L296" s="346">
        <f t="shared" si="43"/>
        <v>0</v>
      </c>
      <c r="M296" s="346">
        <f t="shared" si="43"/>
        <v>0</v>
      </c>
      <c r="N296" s="346">
        <f t="shared" si="43"/>
        <v>0</v>
      </c>
      <c r="O296" s="346">
        <f t="shared" si="43"/>
        <v>355000</v>
      </c>
      <c r="P296" s="346">
        <f t="shared" si="43"/>
        <v>0</v>
      </c>
      <c r="Q296" s="346">
        <f t="shared" si="43"/>
        <v>0</v>
      </c>
      <c r="R296" s="344"/>
    </row>
    <row r="297" spans="1:18" ht="30" hidden="1" outlineLevel="1">
      <c r="A297" s="293">
        <v>1</v>
      </c>
      <c r="B297" s="255" t="s">
        <v>786</v>
      </c>
      <c r="C297" s="263" t="s">
        <v>787</v>
      </c>
      <c r="D297" s="293" t="s">
        <v>173</v>
      </c>
      <c r="E297" s="386" t="s">
        <v>788</v>
      </c>
      <c r="F297" s="337" t="s">
        <v>789</v>
      </c>
      <c r="G297" s="293" t="s">
        <v>330</v>
      </c>
      <c r="H297" s="486"/>
      <c r="I297" s="294">
        <v>40000</v>
      </c>
      <c r="J297" s="294"/>
      <c r="K297" s="294">
        <v>40000</v>
      </c>
      <c r="L297" s="294"/>
      <c r="M297" s="294"/>
      <c r="N297" s="294"/>
      <c r="O297" s="294">
        <v>40000</v>
      </c>
      <c r="P297" s="294"/>
      <c r="Q297" s="294"/>
      <c r="R297" s="313"/>
    </row>
    <row r="298" spans="1:18" ht="45" hidden="1" outlineLevel="1">
      <c r="A298" s="293">
        <v>2</v>
      </c>
      <c r="B298" s="255" t="s">
        <v>790</v>
      </c>
      <c r="C298" s="263" t="s">
        <v>787</v>
      </c>
      <c r="D298" s="293" t="s">
        <v>173</v>
      </c>
      <c r="E298" s="386" t="s">
        <v>791</v>
      </c>
      <c r="F298" s="337" t="s">
        <v>792</v>
      </c>
      <c r="G298" s="293" t="s">
        <v>563</v>
      </c>
      <c r="H298" s="486"/>
      <c r="I298" s="294">
        <v>15000</v>
      </c>
      <c r="J298" s="294"/>
      <c r="K298" s="294">
        <v>15000</v>
      </c>
      <c r="L298" s="294"/>
      <c r="M298" s="294"/>
      <c r="N298" s="294"/>
      <c r="O298" s="294">
        <v>15000</v>
      </c>
      <c r="P298" s="294"/>
      <c r="Q298" s="294"/>
      <c r="R298" s="313"/>
    </row>
    <row r="299" spans="1:18" ht="30" hidden="1" outlineLevel="1">
      <c r="A299" s="293">
        <v>3</v>
      </c>
      <c r="B299" s="255" t="s">
        <v>793</v>
      </c>
      <c r="C299" s="263" t="s">
        <v>787</v>
      </c>
      <c r="D299" s="293" t="s">
        <v>173</v>
      </c>
      <c r="E299" s="386" t="s">
        <v>794</v>
      </c>
      <c r="F299" s="337" t="s">
        <v>795</v>
      </c>
      <c r="G299" s="293" t="s">
        <v>796</v>
      </c>
      <c r="H299" s="486"/>
      <c r="I299" s="294">
        <v>40000</v>
      </c>
      <c r="J299" s="294"/>
      <c r="K299" s="294">
        <v>40000</v>
      </c>
      <c r="L299" s="294"/>
      <c r="M299" s="294"/>
      <c r="N299" s="294"/>
      <c r="O299" s="294">
        <v>40000</v>
      </c>
      <c r="P299" s="294"/>
      <c r="Q299" s="294"/>
      <c r="R299" s="313"/>
    </row>
    <row r="300" spans="1:18" ht="30" hidden="1" outlineLevel="1">
      <c r="A300" s="293">
        <v>4</v>
      </c>
      <c r="B300" s="255" t="s">
        <v>797</v>
      </c>
      <c r="C300" s="263" t="s">
        <v>787</v>
      </c>
      <c r="D300" s="293" t="s">
        <v>173</v>
      </c>
      <c r="E300" s="386" t="s">
        <v>798</v>
      </c>
      <c r="F300" s="337" t="s">
        <v>789</v>
      </c>
      <c r="G300" s="293" t="s">
        <v>799</v>
      </c>
      <c r="H300" s="486"/>
      <c r="I300" s="294">
        <v>60000</v>
      </c>
      <c r="J300" s="294"/>
      <c r="K300" s="294">
        <v>60000</v>
      </c>
      <c r="L300" s="294"/>
      <c r="M300" s="294"/>
      <c r="N300" s="294"/>
      <c r="O300" s="294">
        <v>60000</v>
      </c>
      <c r="P300" s="294"/>
      <c r="Q300" s="294"/>
      <c r="R300" s="313"/>
    </row>
    <row r="301" spans="1:18" ht="45" hidden="1" outlineLevel="1">
      <c r="A301" s="293">
        <v>5</v>
      </c>
      <c r="B301" s="255" t="s">
        <v>800</v>
      </c>
      <c r="C301" s="263" t="s">
        <v>787</v>
      </c>
      <c r="D301" s="293" t="s">
        <v>173</v>
      </c>
      <c r="E301" s="337" t="s">
        <v>791</v>
      </c>
      <c r="F301" s="337" t="s">
        <v>801</v>
      </c>
      <c r="G301" s="293" t="s">
        <v>212</v>
      </c>
      <c r="H301" s="293"/>
      <c r="I301" s="294">
        <v>80000</v>
      </c>
      <c r="J301" s="295"/>
      <c r="K301" s="295">
        <v>80000</v>
      </c>
      <c r="L301" s="295"/>
      <c r="M301" s="295"/>
      <c r="N301" s="295"/>
      <c r="O301" s="294">
        <v>80000</v>
      </c>
      <c r="P301" s="295"/>
      <c r="Q301" s="295"/>
      <c r="R301" s="313"/>
    </row>
    <row r="302" spans="1:18" ht="30" hidden="1" outlineLevel="1">
      <c r="A302" s="293">
        <v>6</v>
      </c>
      <c r="B302" s="255" t="s">
        <v>802</v>
      </c>
      <c r="C302" s="263" t="s">
        <v>787</v>
      </c>
      <c r="D302" s="293" t="s">
        <v>173</v>
      </c>
      <c r="E302" s="337" t="s">
        <v>803</v>
      </c>
      <c r="F302" s="337" t="s">
        <v>789</v>
      </c>
      <c r="G302" s="293" t="s">
        <v>428</v>
      </c>
      <c r="H302" s="293"/>
      <c r="I302" s="294">
        <v>120000</v>
      </c>
      <c r="J302" s="295"/>
      <c r="K302" s="295">
        <v>120000</v>
      </c>
      <c r="L302" s="295"/>
      <c r="M302" s="295"/>
      <c r="N302" s="295"/>
      <c r="O302" s="294">
        <v>120000</v>
      </c>
      <c r="P302" s="295"/>
      <c r="Q302" s="295"/>
      <c r="R302" s="313"/>
    </row>
    <row r="303" spans="1:18" s="297" customFormat="1" ht="18.75" customHeight="1" collapsed="1">
      <c r="A303" s="527" t="s">
        <v>845</v>
      </c>
      <c r="B303" s="298" t="s">
        <v>671</v>
      </c>
      <c r="C303" s="394"/>
      <c r="D303" s="343"/>
      <c r="E303" s="344"/>
      <c r="F303" s="344"/>
      <c r="G303" s="394"/>
      <c r="H303" s="343"/>
      <c r="I303" s="346">
        <f>SUM(I304:I309)</f>
        <v>371000</v>
      </c>
      <c r="J303" s="346">
        <f t="shared" ref="J303:Q303" si="44">SUM(J304:J309)</f>
        <v>0</v>
      </c>
      <c r="K303" s="346">
        <f t="shared" si="44"/>
        <v>371000</v>
      </c>
      <c r="L303" s="346">
        <f t="shared" si="44"/>
        <v>0</v>
      </c>
      <c r="M303" s="346">
        <f t="shared" si="44"/>
        <v>0</v>
      </c>
      <c r="N303" s="346">
        <f t="shared" si="44"/>
        <v>0</v>
      </c>
      <c r="O303" s="346">
        <f t="shared" si="44"/>
        <v>371000</v>
      </c>
      <c r="P303" s="346">
        <f t="shared" si="44"/>
        <v>0</v>
      </c>
      <c r="Q303" s="346">
        <f t="shared" si="44"/>
        <v>0</v>
      </c>
      <c r="R303" s="344"/>
    </row>
    <row r="304" spans="1:18" ht="30" hidden="1" outlineLevel="1">
      <c r="A304" s="293">
        <v>1</v>
      </c>
      <c r="B304" s="255" t="s">
        <v>804</v>
      </c>
      <c r="C304" s="263" t="s">
        <v>671</v>
      </c>
      <c r="D304" s="293" t="s">
        <v>173</v>
      </c>
      <c r="E304" s="337" t="s">
        <v>805</v>
      </c>
      <c r="F304" s="337"/>
      <c r="G304" s="293" t="s">
        <v>300</v>
      </c>
      <c r="H304" s="293"/>
      <c r="I304" s="294">
        <v>30000</v>
      </c>
      <c r="J304" s="295"/>
      <c r="K304" s="295">
        <v>30000</v>
      </c>
      <c r="L304" s="295"/>
      <c r="M304" s="295"/>
      <c r="N304" s="295"/>
      <c r="O304" s="295">
        <v>30000</v>
      </c>
      <c r="P304" s="295"/>
      <c r="Q304" s="295"/>
      <c r="R304" s="293"/>
    </row>
    <row r="305" spans="1:18" ht="60" hidden="1" outlineLevel="1">
      <c r="A305" s="293">
        <v>2</v>
      </c>
      <c r="B305" s="255" t="s">
        <v>806</v>
      </c>
      <c r="C305" s="263" t="s">
        <v>671</v>
      </c>
      <c r="D305" s="293" t="s">
        <v>173</v>
      </c>
      <c r="E305" s="337" t="s">
        <v>807</v>
      </c>
      <c r="F305" s="337" t="s">
        <v>808</v>
      </c>
      <c r="G305" s="293" t="s">
        <v>300</v>
      </c>
      <c r="H305" s="293"/>
      <c r="I305" s="294">
        <v>77000</v>
      </c>
      <c r="J305" s="295"/>
      <c r="K305" s="295">
        <v>77000</v>
      </c>
      <c r="L305" s="295"/>
      <c r="M305" s="295"/>
      <c r="N305" s="295"/>
      <c r="O305" s="295">
        <v>77000</v>
      </c>
      <c r="P305" s="295"/>
      <c r="Q305" s="295"/>
      <c r="R305" s="293"/>
    </row>
    <row r="306" spans="1:18" ht="30" hidden="1" outlineLevel="1">
      <c r="A306" s="293">
        <v>3</v>
      </c>
      <c r="B306" s="255" t="s">
        <v>809</v>
      </c>
      <c r="C306" s="263" t="s">
        <v>674</v>
      </c>
      <c r="D306" s="293" t="s">
        <v>173</v>
      </c>
      <c r="E306" s="337" t="s">
        <v>807</v>
      </c>
      <c r="F306" s="337" t="s">
        <v>810</v>
      </c>
      <c r="G306" s="293" t="s">
        <v>300</v>
      </c>
      <c r="H306" s="293"/>
      <c r="I306" s="294">
        <v>79000</v>
      </c>
      <c r="J306" s="295"/>
      <c r="K306" s="295">
        <v>79000</v>
      </c>
      <c r="L306" s="295"/>
      <c r="M306" s="295"/>
      <c r="N306" s="295"/>
      <c r="O306" s="295">
        <v>79000</v>
      </c>
      <c r="P306" s="295"/>
      <c r="Q306" s="295"/>
      <c r="R306" s="293"/>
    </row>
    <row r="307" spans="1:18" ht="60" hidden="1" outlineLevel="1">
      <c r="A307" s="293">
        <v>4</v>
      </c>
      <c r="B307" s="255" t="s">
        <v>811</v>
      </c>
      <c r="C307" s="263" t="s">
        <v>674</v>
      </c>
      <c r="D307" s="293" t="s">
        <v>173</v>
      </c>
      <c r="E307" s="337" t="s">
        <v>805</v>
      </c>
      <c r="F307" s="337" t="s">
        <v>812</v>
      </c>
      <c r="G307" s="293" t="s">
        <v>300</v>
      </c>
      <c r="H307" s="293"/>
      <c r="I307" s="294">
        <v>65000</v>
      </c>
      <c r="J307" s="295"/>
      <c r="K307" s="295">
        <v>65000</v>
      </c>
      <c r="L307" s="295"/>
      <c r="M307" s="295"/>
      <c r="N307" s="295"/>
      <c r="O307" s="295">
        <v>65000</v>
      </c>
      <c r="P307" s="295"/>
      <c r="Q307" s="295"/>
      <c r="R307" s="293"/>
    </row>
    <row r="308" spans="1:18" ht="45" hidden="1" outlineLevel="1">
      <c r="A308" s="293">
        <v>5</v>
      </c>
      <c r="B308" s="255" t="s">
        <v>813</v>
      </c>
      <c r="C308" s="263" t="s">
        <v>674</v>
      </c>
      <c r="D308" s="293" t="s">
        <v>173</v>
      </c>
      <c r="E308" s="337" t="s">
        <v>807</v>
      </c>
      <c r="F308" s="337"/>
      <c r="G308" s="293" t="s">
        <v>300</v>
      </c>
      <c r="H308" s="293"/>
      <c r="I308" s="294">
        <v>80000</v>
      </c>
      <c r="J308" s="295"/>
      <c r="K308" s="295">
        <v>80000</v>
      </c>
      <c r="L308" s="295"/>
      <c r="M308" s="295"/>
      <c r="N308" s="295"/>
      <c r="O308" s="295">
        <v>80000</v>
      </c>
      <c r="P308" s="295"/>
      <c r="Q308" s="295"/>
      <c r="R308" s="293"/>
    </row>
    <row r="309" spans="1:18" ht="48" hidden="1" outlineLevel="1">
      <c r="A309" s="293">
        <v>6</v>
      </c>
      <c r="B309" s="255" t="s">
        <v>814</v>
      </c>
      <c r="C309" s="263" t="s">
        <v>674</v>
      </c>
      <c r="D309" s="293" t="s">
        <v>173</v>
      </c>
      <c r="E309" s="337" t="s">
        <v>807</v>
      </c>
      <c r="F309" s="337" t="s">
        <v>815</v>
      </c>
      <c r="G309" s="293" t="s">
        <v>300</v>
      </c>
      <c r="H309" s="293"/>
      <c r="I309" s="294">
        <v>40000</v>
      </c>
      <c r="J309" s="295"/>
      <c r="K309" s="295">
        <v>40000</v>
      </c>
      <c r="L309" s="295"/>
      <c r="M309" s="295"/>
      <c r="N309" s="295"/>
      <c r="O309" s="295">
        <v>40000</v>
      </c>
      <c r="P309" s="295"/>
      <c r="Q309" s="295"/>
      <c r="R309" s="293"/>
    </row>
    <row r="310" spans="1:18" s="297" customFormat="1" ht="18.75" customHeight="1" collapsed="1">
      <c r="A310" s="527" t="s">
        <v>846</v>
      </c>
      <c r="B310" s="298" t="s">
        <v>189</v>
      </c>
      <c r="C310" s="394"/>
      <c r="D310" s="343"/>
      <c r="E310" s="344"/>
      <c r="F310" s="344"/>
      <c r="G310" s="394"/>
      <c r="H310" s="343"/>
      <c r="I310" s="346">
        <f>SUM(I311:I313)</f>
        <v>200000</v>
      </c>
      <c r="J310" s="346">
        <f t="shared" ref="J310:Q310" si="45">SUM(J311:J313)</f>
        <v>0</v>
      </c>
      <c r="K310" s="346">
        <f t="shared" si="45"/>
        <v>200000</v>
      </c>
      <c r="L310" s="346">
        <f t="shared" si="45"/>
        <v>0</v>
      </c>
      <c r="M310" s="346">
        <f t="shared" si="45"/>
        <v>0</v>
      </c>
      <c r="N310" s="346">
        <f t="shared" si="45"/>
        <v>0</v>
      </c>
      <c r="O310" s="346">
        <f t="shared" si="45"/>
        <v>180000</v>
      </c>
      <c r="P310" s="346">
        <f t="shared" si="45"/>
        <v>0</v>
      </c>
      <c r="Q310" s="346">
        <f t="shared" si="45"/>
        <v>0</v>
      </c>
      <c r="R310" s="344"/>
    </row>
    <row r="311" spans="1:18" ht="60" hidden="1" outlineLevel="1">
      <c r="A311" s="293">
        <v>1</v>
      </c>
      <c r="B311" s="255" t="s">
        <v>816</v>
      </c>
      <c r="C311" s="263" t="s">
        <v>189</v>
      </c>
      <c r="D311" s="293" t="s">
        <v>173</v>
      </c>
      <c r="E311" s="337" t="s">
        <v>817</v>
      </c>
      <c r="F311" s="468" t="s">
        <v>818</v>
      </c>
      <c r="G311" s="293" t="s">
        <v>212</v>
      </c>
      <c r="H311" s="293"/>
      <c r="I311" s="294">
        <v>70000</v>
      </c>
      <c r="J311" s="294"/>
      <c r="K311" s="294">
        <v>70000</v>
      </c>
      <c r="L311" s="294"/>
      <c r="M311" s="294"/>
      <c r="N311" s="294"/>
      <c r="O311" s="294">
        <v>70000</v>
      </c>
      <c r="P311" s="294"/>
      <c r="Q311" s="294"/>
      <c r="R311" s="293"/>
    </row>
    <row r="312" spans="1:18" ht="132" hidden="1" outlineLevel="1">
      <c r="A312" s="293">
        <v>2</v>
      </c>
      <c r="B312" s="255" t="s">
        <v>819</v>
      </c>
      <c r="C312" s="263" t="s">
        <v>189</v>
      </c>
      <c r="D312" s="293" t="s">
        <v>173</v>
      </c>
      <c r="E312" s="337" t="s">
        <v>820</v>
      </c>
      <c r="F312" s="468" t="s">
        <v>821</v>
      </c>
      <c r="G312" s="293" t="s">
        <v>212</v>
      </c>
      <c r="H312" s="293"/>
      <c r="I312" s="294">
        <v>50000</v>
      </c>
      <c r="J312" s="294"/>
      <c r="K312" s="294">
        <v>50000</v>
      </c>
      <c r="L312" s="294"/>
      <c r="M312" s="294"/>
      <c r="N312" s="294"/>
      <c r="O312" s="294">
        <v>50000</v>
      </c>
      <c r="P312" s="294"/>
      <c r="Q312" s="294"/>
      <c r="R312" s="293"/>
    </row>
    <row r="313" spans="1:18" ht="45" hidden="1" outlineLevel="1">
      <c r="A313" s="293">
        <v>3</v>
      </c>
      <c r="B313" s="255" t="s">
        <v>822</v>
      </c>
      <c r="C313" s="263" t="s">
        <v>189</v>
      </c>
      <c r="D313" s="293" t="s">
        <v>173</v>
      </c>
      <c r="E313" s="337" t="s">
        <v>824</v>
      </c>
      <c r="F313" s="468" t="s">
        <v>823</v>
      </c>
      <c r="G313" s="293" t="s">
        <v>428</v>
      </c>
      <c r="H313" s="293"/>
      <c r="I313" s="294">
        <v>80000</v>
      </c>
      <c r="J313" s="294"/>
      <c r="K313" s="294">
        <v>80000</v>
      </c>
      <c r="L313" s="294"/>
      <c r="M313" s="294"/>
      <c r="N313" s="294"/>
      <c r="O313" s="294">
        <v>60000</v>
      </c>
      <c r="P313" s="294"/>
      <c r="Q313" s="294"/>
      <c r="R313" s="293"/>
    </row>
    <row r="314" spans="1:18" s="297" customFormat="1" ht="18.75" customHeight="1" collapsed="1">
      <c r="A314" s="527" t="s">
        <v>847</v>
      </c>
      <c r="B314" s="298" t="s">
        <v>672</v>
      </c>
      <c r="C314" s="394"/>
      <c r="D314" s="343"/>
      <c r="E314" s="344"/>
      <c r="F314" s="344"/>
      <c r="G314" s="394"/>
      <c r="H314" s="343"/>
      <c r="I314" s="346">
        <f>SUM(I315:I322)</f>
        <v>705000</v>
      </c>
      <c r="J314" s="346">
        <f t="shared" ref="J314:Q314" si="46">SUM(J315:J322)</f>
        <v>0</v>
      </c>
      <c r="K314" s="346">
        <f t="shared" si="46"/>
        <v>0</v>
      </c>
      <c r="L314" s="346">
        <f t="shared" si="46"/>
        <v>0</v>
      </c>
      <c r="M314" s="346">
        <f t="shared" si="46"/>
        <v>0</v>
      </c>
      <c r="N314" s="346">
        <f t="shared" si="46"/>
        <v>0</v>
      </c>
      <c r="O314" s="346">
        <f t="shared" si="46"/>
        <v>705000</v>
      </c>
      <c r="P314" s="346">
        <f t="shared" si="46"/>
        <v>0</v>
      </c>
      <c r="Q314" s="346">
        <f t="shared" si="46"/>
        <v>0</v>
      </c>
      <c r="R314" s="344"/>
    </row>
    <row r="315" spans="1:18" ht="32.450000000000003" hidden="1" customHeight="1" outlineLevel="1">
      <c r="A315" s="293">
        <v>1</v>
      </c>
      <c r="B315" s="255" t="s">
        <v>825</v>
      </c>
      <c r="C315" s="263" t="s">
        <v>672</v>
      </c>
      <c r="D315" s="293" t="s">
        <v>173</v>
      </c>
      <c r="E315" s="337" t="s">
        <v>826</v>
      </c>
      <c r="F315" s="337"/>
      <c r="G315" s="293" t="s">
        <v>212</v>
      </c>
      <c r="H315" s="293"/>
      <c r="I315" s="294">
        <v>100000</v>
      </c>
      <c r="J315" s="295"/>
      <c r="K315" s="295"/>
      <c r="L315" s="295"/>
      <c r="M315" s="295"/>
      <c r="N315" s="295"/>
      <c r="O315" s="295">
        <v>100000</v>
      </c>
      <c r="P315" s="295"/>
      <c r="Q315" s="295"/>
      <c r="R315" s="313"/>
    </row>
    <row r="316" spans="1:18" ht="60" hidden="1" outlineLevel="1">
      <c r="A316" s="293">
        <v>2</v>
      </c>
      <c r="B316" s="255" t="s">
        <v>827</v>
      </c>
      <c r="C316" s="263" t="s">
        <v>672</v>
      </c>
      <c r="D316" s="293" t="s">
        <v>101</v>
      </c>
      <c r="E316" s="337" t="s">
        <v>539</v>
      </c>
      <c r="F316" s="337"/>
      <c r="G316" s="293" t="s">
        <v>211</v>
      </c>
      <c r="H316" s="293"/>
      <c r="I316" s="294">
        <v>110000</v>
      </c>
      <c r="J316" s="295"/>
      <c r="K316" s="295"/>
      <c r="L316" s="295"/>
      <c r="M316" s="295"/>
      <c r="N316" s="295"/>
      <c r="O316" s="295">
        <v>110000</v>
      </c>
      <c r="P316" s="295"/>
      <c r="Q316" s="295"/>
      <c r="R316" s="313"/>
    </row>
    <row r="317" spans="1:18" ht="30" hidden="1" outlineLevel="1">
      <c r="A317" s="293">
        <v>3</v>
      </c>
      <c r="B317" s="255" t="s">
        <v>828</v>
      </c>
      <c r="C317" s="263" t="s">
        <v>672</v>
      </c>
      <c r="D317" s="293" t="s">
        <v>101</v>
      </c>
      <c r="E317" s="337" t="s">
        <v>539</v>
      </c>
      <c r="F317" s="337"/>
      <c r="G317" s="293" t="s">
        <v>211</v>
      </c>
      <c r="H317" s="293"/>
      <c r="I317" s="294">
        <v>165000</v>
      </c>
      <c r="J317" s="295"/>
      <c r="K317" s="295"/>
      <c r="L317" s="295"/>
      <c r="M317" s="295"/>
      <c r="N317" s="295"/>
      <c r="O317" s="295">
        <v>165000</v>
      </c>
      <c r="P317" s="295"/>
      <c r="Q317" s="295"/>
      <c r="R317" s="313"/>
    </row>
    <row r="318" spans="1:18" ht="30" hidden="1" outlineLevel="1">
      <c r="A318" s="293">
        <v>4</v>
      </c>
      <c r="B318" s="255" t="s">
        <v>829</v>
      </c>
      <c r="C318" s="263" t="s">
        <v>672</v>
      </c>
      <c r="D318" s="293" t="s">
        <v>101</v>
      </c>
      <c r="E318" s="337" t="s">
        <v>830</v>
      </c>
      <c r="F318" s="337"/>
      <c r="G318" s="293" t="s">
        <v>300</v>
      </c>
      <c r="H318" s="293"/>
      <c r="I318" s="294">
        <v>150000</v>
      </c>
      <c r="J318" s="295"/>
      <c r="K318" s="295"/>
      <c r="L318" s="295"/>
      <c r="M318" s="295"/>
      <c r="N318" s="295"/>
      <c r="O318" s="295">
        <v>150000</v>
      </c>
      <c r="P318" s="295"/>
      <c r="Q318" s="295"/>
      <c r="R318" s="313"/>
    </row>
    <row r="319" spans="1:18" ht="30" hidden="1" outlineLevel="1">
      <c r="A319" s="293">
        <v>5</v>
      </c>
      <c r="B319" s="255" t="s">
        <v>831</v>
      </c>
      <c r="C319" s="263" t="s">
        <v>672</v>
      </c>
      <c r="D319" s="293" t="s">
        <v>173</v>
      </c>
      <c r="E319" s="337" t="s">
        <v>539</v>
      </c>
      <c r="F319" s="337"/>
      <c r="G319" s="293" t="s">
        <v>428</v>
      </c>
      <c r="H319" s="293"/>
      <c r="I319" s="294">
        <v>20000</v>
      </c>
      <c r="J319" s="295"/>
      <c r="K319" s="295"/>
      <c r="L319" s="295"/>
      <c r="M319" s="295"/>
      <c r="N319" s="295"/>
      <c r="O319" s="295">
        <v>20000</v>
      </c>
      <c r="P319" s="295"/>
      <c r="Q319" s="295"/>
      <c r="R319" s="313"/>
    </row>
    <row r="320" spans="1:18" ht="30" hidden="1" outlineLevel="1">
      <c r="A320" s="293">
        <v>6</v>
      </c>
      <c r="B320" s="255" t="s">
        <v>832</v>
      </c>
      <c r="C320" s="263" t="s">
        <v>672</v>
      </c>
      <c r="D320" s="293" t="s">
        <v>173</v>
      </c>
      <c r="E320" s="337" t="s">
        <v>539</v>
      </c>
      <c r="F320" s="337"/>
      <c r="G320" s="293" t="s">
        <v>428</v>
      </c>
      <c r="H320" s="293"/>
      <c r="I320" s="294">
        <v>50000</v>
      </c>
      <c r="J320" s="295"/>
      <c r="K320" s="295"/>
      <c r="L320" s="295"/>
      <c r="M320" s="295"/>
      <c r="N320" s="295"/>
      <c r="O320" s="295">
        <v>50000</v>
      </c>
      <c r="P320" s="295"/>
      <c r="Q320" s="295"/>
      <c r="R320" s="313"/>
    </row>
    <row r="321" spans="1:18" ht="30" hidden="1" outlineLevel="1">
      <c r="A321" s="293">
        <v>7</v>
      </c>
      <c r="B321" s="279" t="s">
        <v>833</v>
      </c>
      <c r="C321" s="263" t="s">
        <v>672</v>
      </c>
      <c r="D321" s="293" t="s">
        <v>173</v>
      </c>
      <c r="E321" s="337" t="s">
        <v>539</v>
      </c>
      <c r="F321" s="567"/>
      <c r="G321" s="293" t="s">
        <v>234</v>
      </c>
      <c r="H321" s="518"/>
      <c r="I321" s="523">
        <v>55000</v>
      </c>
      <c r="J321" s="519"/>
      <c r="K321" s="519"/>
      <c r="L321" s="519"/>
      <c r="M321" s="519"/>
      <c r="N321" s="519"/>
      <c r="O321" s="295">
        <v>55000</v>
      </c>
      <c r="P321" s="295"/>
      <c r="Q321" s="295"/>
      <c r="R321" s="313"/>
    </row>
    <row r="322" spans="1:18" ht="30" hidden="1" outlineLevel="1">
      <c r="A322" s="293">
        <v>8</v>
      </c>
      <c r="B322" s="279" t="s">
        <v>834</v>
      </c>
      <c r="C322" s="263" t="s">
        <v>672</v>
      </c>
      <c r="D322" s="293" t="s">
        <v>173</v>
      </c>
      <c r="E322" s="337" t="s">
        <v>539</v>
      </c>
      <c r="F322" s="567"/>
      <c r="G322" s="293" t="s">
        <v>234</v>
      </c>
      <c r="H322" s="518"/>
      <c r="I322" s="523">
        <v>55000</v>
      </c>
      <c r="J322" s="519"/>
      <c r="K322" s="519"/>
      <c r="L322" s="519"/>
      <c r="M322" s="519"/>
      <c r="N322" s="519"/>
      <c r="O322" s="295">
        <v>55000</v>
      </c>
      <c r="P322" s="295"/>
      <c r="Q322" s="295"/>
      <c r="R322" s="313"/>
    </row>
    <row r="323" spans="1:18" ht="7.15" customHeight="1" collapsed="1">
      <c r="A323" s="273"/>
      <c r="B323" s="314"/>
      <c r="C323" s="563"/>
      <c r="D323" s="314"/>
      <c r="E323" s="341"/>
      <c r="F323" s="341"/>
      <c r="G323" s="314"/>
      <c r="H323" s="314"/>
      <c r="I323" s="314"/>
      <c r="J323" s="314"/>
      <c r="K323" s="314"/>
      <c r="L323" s="314"/>
      <c r="M323" s="314"/>
      <c r="N323" s="314"/>
      <c r="O323" s="314"/>
      <c r="P323" s="314"/>
      <c r="Q323" s="314"/>
      <c r="R323" s="314"/>
    </row>
  </sheetData>
  <mergeCells count="27">
    <mergeCell ref="M6:N6"/>
    <mergeCell ref="R149:R157"/>
    <mergeCell ref="P6:Q6"/>
    <mergeCell ref="J7:J8"/>
    <mergeCell ref="K7:K8"/>
    <mergeCell ref="M7:M8"/>
    <mergeCell ref="N7:N8"/>
    <mergeCell ref="P7:P8"/>
    <mergeCell ref="Q7:Q8"/>
    <mergeCell ref="O5:O8"/>
    <mergeCell ref="H5:K5"/>
    <mergeCell ref="A1:R1"/>
    <mergeCell ref="A2:R2"/>
    <mergeCell ref="A3:R3"/>
    <mergeCell ref="A5:A8"/>
    <mergeCell ref="B5:B8"/>
    <mergeCell ref="C5:C8"/>
    <mergeCell ref="D5:D8"/>
    <mergeCell ref="E5:E8"/>
    <mergeCell ref="F5:F8"/>
    <mergeCell ref="G5:G8"/>
    <mergeCell ref="L5:N5"/>
    <mergeCell ref="R5:R8"/>
    <mergeCell ref="H6:H8"/>
    <mergeCell ref="I6:I8"/>
    <mergeCell ref="J6:K6"/>
    <mergeCell ref="L6:L8"/>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FF"/>
  </sheetPr>
  <dimension ref="A6:H23"/>
  <sheetViews>
    <sheetView workbookViewId="0">
      <selection activeCell="H25" sqref="H25"/>
    </sheetView>
  </sheetViews>
  <sheetFormatPr defaultColWidth="8.85546875" defaultRowHeight="15"/>
  <cols>
    <col min="1" max="1" width="4.42578125" style="499" bestFit="1" customWidth="1"/>
    <col min="2" max="2" width="25.7109375" style="499" customWidth="1"/>
    <col min="3" max="3" width="6.85546875" style="499" hidden="1" customWidth="1"/>
    <col min="4" max="4" width="11.28515625" style="499" customWidth="1"/>
    <col min="5" max="5" width="11.85546875" style="499" customWidth="1"/>
    <col min="6" max="6" width="14.28515625" style="499" customWidth="1"/>
    <col min="7" max="7" width="20.7109375" style="499" customWidth="1"/>
    <col min="8" max="8" width="15.42578125" style="499" customWidth="1"/>
    <col min="9" max="16384" width="8.85546875" style="499"/>
  </cols>
  <sheetData>
    <row r="6" spans="1:8" s="500" customFormat="1" ht="32.450000000000003" customHeight="1">
      <c r="A6" s="971" t="s">
        <v>663</v>
      </c>
      <c r="B6" s="971" t="s">
        <v>664</v>
      </c>
      <c r="C6" s="971" t="s">
        <v>666</v>
      </c>
      <c r="D6" s="967" t="s">
        <v>665</v>
      </c>
      <c r="E6" s="968"/>
      <c r="F6" s="969"/>
      <c r="G6" s="504" t="s">
        <v>667</v>
      </c>
      <c r="H6" s="504"/>
    </row>
    <row r="7" spans="1:8" s="500" customFormat="1" ht="14.25">
      <c r="A7" s="973"/>
      <c r="B7" s="973"/>
      <c r="C7" s="973"/>
      <c r="D7" s="971" t="s">
        <v>161</v>
      </c>
      <c r="E7" s="970" t="s">
        <v>198</v>
      </c>
      <c r="F7" s="970"/>
      <c r="G7" s="511"/>
      <c r="H7" s="511"/>
    </row>
    <row r="8" spans="1:8" s="500" customFormat="1" ht="32.450000000000003" customHeight="1">
      <c r="A8" s="972"/>
      <c r="B8" s="972"/>
      <c r="C8" s="972"/>
      <c r="D8" s="972"/>
      <c r="E8" s="504" t="s">
        <v>119</v>
      </c>
      <c r="F8" s="504" t="s">
        <v>120</v>
      </c>
      <c r="G8" s="511">
        <f>F9/13</f>
        <v>227640.76923076922</v>
      </c>
      <c r="H8" s="511"/>
    </row>
    <row r="9" spans="1:8" s="500" customFormat="1" ht="14.25">
      <c r="A9" s="512"/>
      <c r="B9" s="512" t="s">
        <v>161</v>
      </c>
      <c r="C9" s="512"/>
      <c r="D9" s="513">
        <f>SUM(D10:D22)</f>
        <v>3363129.7519999999</v>
      </c>
      <c r="E9" s="514">
        <f>SUM(E10:E22)</f>
        <v>403799.75199999998</v>
      </c>
      <c r="F9" s="514">
        <f>SUM(F10:F22)</f>
        <v>2959330</v>
      </c>
      <c r="G9" s="513">
        <f>SUM(G10:G22)</f>
        <v>0</v>
      </c>
      <c r="H9" s="513">
        <f>SUM(H10:H22)</f>
        <v>0</v>
      </c>
    </row>
    <row r="10" spans="1:8">
      <c r="A10" s="507">
        <v>1</v>
      </c>
      <c r="B10" s="503" t="s">
        <v>185</v>
      </c>
      <c r="C10" s="507"/>
      <c r="D10" s="502">
        <f>'[4]PL7- Khoi cong moi 21-25(IN)'!$T$147+'[4]PL7- Khoi cong moi 21-25(IN)'!$T$151</f>
        <v>365000</v>
      </c>
      <c r="E10" s="502">
        <f>'[4]PL6 chuyen tiep 16-20 (IN)'!$CK$64</f>
        <v>17950</v>
      </c>
      <c r="F10" s="502">
        <f>D10-E10</f>
        <v>347050</v>
      </c>
      <c r="G10" s="507"/>
      <c r="H10" s="503"/>
    </row>
    <row r="11" spans="1:8">
      <c r="A11" s="509">
        <v>2</v>
      </c>
      <c r="B11" s="505" t="s">
        <v>668</v>
      </c>
      <c r="C11" s="509"/>
      <c r="D11" s="508">
        <f>'[4]PL6 chuyen tiep 16-20 (IN)'!$CK$66+'[4]PL7- Khoi cong moi 21-25(IN)'!$AJ$158</f>
        <v>244700</v>
      </c>
      <c r="E11" s="508">
        <f>'[4]PL6 chuyen tiep 16-20 (IN)'!$CK$66</f>
        <v>72900</v>
      </c>
      <c r="F11" s="508">
        <f>D11-E11</f>
        <v>171800</v>
      </c>
      <c r="G11" s="509"/>
      <c r="H11" s="505"/>
    </row>
    <row r="12" spans="1:8" ht="30">
      <c r="A12" s="509">
        <v>3</v>
      </c>
      <c r="B12" s="505" t="s">
        <v>179</v>
      </c>
      <c r="C12" s="509"/>
      <c r="D12" s="508">
        <f>'[4]PL7- Khoi cong moi 21-25(IN)'!$AJ$167+'[4]PL6 chuyen tiep 16-20 (IN)'!$CK$71</f>
        <v>239313</v>
      </c>
      <c r="E12" s="508">
        <f>'[4]PL6 chuyen tiep 16-20 (IN)'!$CK$71</f>
        <v>84313</v>
      </c>
      <c r="F12" s="508">
        <f>D12-E12</f>
        <v>155000</v>
      </c>
      <c r="G12" s="509"/>
      <c r="H12" s="505"/>
    </row>
    <row r="13" spans="1:8">
      <c r="A13" s="509">
        <v>4</v>
      </c>
      <c r="B13" s="505" t="s">
        <v>669</v>
      </c>
      <c r="C13" s="509"/>
      <c r="D13" s="508">
        <f>'[4]PL7- Khoi cong moi 21-25(IN)'!$AJ$174+'[4]PL6 chuyen tiep 16-20 (IN)'!$CK$78</f>
        <v>303880</v>
      </c>
      <c r="E13" s="508">
        <f>'[4]PL6 chuyen tiep 16-20 (IN)'!$CK$78</f>
        <v>4400</v>
      </c>
      <c r="F13" s="508">
        <f>D13-E13</f>
        <v>299480</v>
      </c>
      <c r="G13" s="509"/>
      <c r="H13" s="505"/>
    </row>
    <row r="14" spans="1:8">
      <c r="A14" s="509">
        <v>5</v>
      </c>
      <c r="B14" s="505" t="s">
        <v>180</v>
      </c>
      <c r="C14" s="509"/>
      <c r="D14" s="508">
        <f>E14+F14</f>
        <v>197000</v>
      </c>
      <c r="E14" s="508">
        <f>'[4]PL6 chuyen tiep 16-20 (IN)'!$CK$80</f>
        <v>15000</v>
      </c>
      <c r="F14" s="508">
        <f>'[4]PL7- Khoi cong moi 21-25(IN)'!$AJ$179</f>
        <v>182000</v>
      </c>
      <c r="G14" s="509"/>
      <c r="H14" s="505"/>
    </row>
    <row r="15" spans="1:8">
      <c r="A15" s="509">
        <v>6</v>
      </c>
      <c r="B15" s="505" t="s">
        <v>181</v>
      </c>
      <c r="C15" s="509"/>
      <c r="D15" s="508">
        <f t="shared" ref="D15:D22" si="0">E15+F15</f>
        <v>310823</v>
      </c>
      <c r="E15" s="508">
        <f>'[4]PL6 chuyen tiep 16-20 (IN)'!$CK$82</f>
        <v>15323</v>
      </c>
      <c r="F15" s="508">
        <f>'[4]PL7- Khoi cong moi 21-25(IN)'!$AJ$190</f>
        <v>295500</v>
      </c>
      <c r="G15" s="509"/>
      <c r="H15" s="505"/>
    </row>
    <row r="16" spans="1:8">
      <c r="A16" s="509">
        <v>7</v>
      </c>
      <c r="B16" s="505" t="s">
        <v>186</v>
      </c>
      <c r="C16" s="509"/>
      <c r="D16" s="508">
        <f t="shared" si="0"/>
        <v>294000</v>
      </c>
      <c r="E16" s="508">
        <f>'[4]PL6 chuyen tiep 16-20 (IN)'!$CK$86</f>
        <v>19000</v>
      </c>
      <c r="F16" s="508">
        <f>'[4]PL7- Khoi cong moi 21-25(IN)'!$AJ$200</f>
        <v>275000</v>
      </c>
      <c r="G16" s="509"/>
      <c r="H16" s="505"/>
    </row>
    <row r="17" spans="1:8">
      <c r="A17" s="509">
        <v>8</v>
      </c>
      <c r="B17" s="505" t="s">
        <v>187</v>
      </c>
      <c r="C17" s="509"/>
      <c r="D17" s="508">
        <f t="shared" si="0"/>
        <v>252500</v>
      </c>
      <c r="E17" s="508">
        <f>'[4]PL6 chuyen tiep 16-20 (IN)'!$CK$91</f>
        <v>2500</v>
      </c>
      <c r="F17" s="508">
        <f>'[4]PL7- Khoi cong moi 21-25(IN)'!$AJ$209</f>
        <v>250000</v>
      </c>
      <c r="G17" s="509"/>
      <c r="H17" s="505"/>
    </row>
    <row r="18" spans="1:8">
      <c r="A18" s="509">
        <v>9</v>
      </c>
      <c r="B18" s="505" t="s">
        <v>670</v>
      </c>
      <c r="C18" s="509"/>
      <c r="D18" s="508">
        <f t="shared" si="0"/>
        <v>383000</v>
      </c>
      <c r="E18" s="508">
        <f>'[4]PL6 chuyen tiep 16-20 (IN)'!$CK$88</f>
        <v>92000</v>
      </c>
      <c r="F18" s="508">
        <f>'[4]PL7- Khoi cong moi 21-25(IN)'!$AJ$219</f>
        <v>291000</v>
      </c>
      <c r="G18" s="509"/>
      <c r="H18" s="505"/>
    </row>
    <row r="19" spans="1:8">
      <c r="A19" s="509">
        <v>10</v>
      </c>
      <c r="B19" s="505" t="s">
        <v>188</v>
      </c>
      <c r="C19" s="509"/>
      <c r="D19" s="508">
        <f t="shared" si="0"/>
        <v>224000</v>
      </c>
      <c r="E19" s="508">
        <f>'[4]PL6 chuyen tiep 16-20 (IN)'!$CK$93</f>
        <v>28000</v>
      </c>
      <c r="F19" s="508">
        <f>'[4]PL7- Khoi cong moi 21-25(IN)'!$AJ$229</f>
        <v>196000</v>
      </c>
      <c r="G19" s="509"/>
      <c r="H19" s="505"/>
    </row>
    <row r="20" spans="1:8">
      <c r="A20" s="509">
        <v>11</v>
      </c>
      <c r="B20" s="505" t="s">
        <v>671</v>
      </c>
      <c r="C20" s="509"/>
      <c r="D20" s="508">
        <f t="shared" si="0"/>
        <v>241805</v>
      </c>
      <c r="E20" s="508">
        <f>'[4]PL6 chuyen tiep 16-20 (IN)'!$CK$96</f>
        <v>24805</v>
      </c>
      <c r="F20" s="508">
        <f>'[4]PL7- Khoi cong moi 21-25(IN)'!$AJ$239</f>
        <v>217000</v>
      </c>
      <c r="G20" s="509"/>
      <c r="H20" s="505"/>
    </row>
    <row r="21" spans="1:8">
      <c r="A21" s="509">
        <v>12</v>
      </c>
      <c r="B21" s="505" t="s">
        <v>189</v>
      </c>
      <c r="C21" s="509"/>
      <c r="D21" s="508">
        <f t="shared" si="0"/>
        <v>267000</v>
      </c>
      <c r="E21" s="508"/>
      <c r="F21" s="508">
        <f>'[4]PL7- Khoi cong moi 21-25(IN)'!$AJ$248</f>
        <v>267000</v>
      </c>
      <c r="G21" s="509"/>
      <c r="H21" s="505"/>
    </row>
    <row r="22" spans="1:8">
      <c r="A22" s="509">
        <v>13</v>
      </c>
      <c r="B22" s="505" t="s">
        <v>672</v>
      </c>
      <c r="C22" s="509"/>
      <c r="D22" s="508">
        <f t="shared" si="0"/>
        <v>40108.752</v>
      </c>
      <c r="E22" s="508">
        <f>'[4]PL6 chuyen tiep 16-20 (IN)'!$CK$100</f>
        <v>27608.752</v>
      </c>
      <c r="F22" s="508">
        <f>'[4]PL7- Khoi cong moi 21-25(IN)'!$AJ$257</f>
        <v>12500</v>
      </c>
      <c r="G22" s="509"/>
      <c r="H22" s="505"/>
    </row>
    <row r="23" spans="1:8" ht="5.45" customHeight="1">
      <c r="A23" s="501"/>
      <c r="B23" s="501"/>
      <c r="C23" s="501"/>
      <c r="D23" s="506"/>
      <c r="E23" s="506"/>
      <c r="F23" s="506"/>
      <c r="G23" s="501"/>
      <c r="H23" s="501"/>
    </row>
  </sheetData>
  <mergeCells count="6">
    <mergeCell ref="D6:F6"/>
    <mergeCell ref="E7:F7"/>
    <mergeCell ref="D7:D8"/>
    <mergeCell ref="B6:B8"/>
    <mergeCell ref="A6:A8"/>
    <mergeCell ref="C6:C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V29"/>
  <sheetViews>
    <sheetView topLeftCell="A4" workbookViewId="0">
      <selection activeCell="AB13" sqref="AB13:AB25"/>
    </sheetView>
  </sheetViews>
  <sheetFormatPr defaultColWidth="9.140625" defaultRowHeight="12.75" outlineLevelCol="1"/>
  <cols>
    <col min="1" max="1" width="8.28515625" style="657" customWidth="1"/>
    <col min="2" max="2" width="37.28515625" style="657" customWidth="1"/>
    <col min="3" max="3" width="13.7109375" style="657" customWidth="1"/>
    <col min="4" max="4" width="23" style="657" customWidth="1"/>
    <col min="5" max="5" width="13.85546875" style="657" customWidth="1"/>
    <col min="6" max="6" width="13.42578125" style="657" customWidth="1"/>
    <col min="7" max="7" width="24.85546875" style="657" customWidth="1"/>
    <col min="8" max="8" width="26.42578125" style="657" customWidth="1"/>
    <col min="9" max="9" width="11.7109375" style="657" hidden="1" customWidth="1" outlineLevel="1"/>
    <col min="10" max="14" width="10.42578125" style="657" hidden="1" customWidth="1" outlineLevel="1"/>
    <col min="15" max="15" width="12.42578125" style="657" hidden="1" customWidth="1" outlineLevel="1"/>
    <col min="16" max="16" width="18" style="698" customWidth="1" collapsed="1"/>
    <col min="17" max="17" width="10.42578125" style="657" hidden="1" customWidth="1" outlineLevel="1"/>
    <col min="18" max="18" width="41.28515625" style="657" hidden="1" customWidth="1" outlineLevel="1"/>
    <col min="19" max="19" width="14.85546875" style="657" hidden="1" customWidth="1" outlineLevel="1"/>
    <col min="20" max="20" width="13.7109375" style="657" hidden="1" customWidth="1" outlineLevel="1"/>
    <col min="21" max="22" width="15.42578125" style="657" hidden="1" customWidth="1" outlineLevel="1"/>
    <col min="23" max="23" width="15.28515625" style="657" hidden="1" customWidth="1" outlineLevel="1"/>
    <col min="24" max="24" width="18.42578125" style="657" hidden="1" customWidth="1" outlineLevel="1"/>
    <col min="25" max="25" width="13.140625" style="657" hidden="1" customWidth="1" outlineLevel="1"/>
    <col min="26" max="26" width="16.42578125" style="657" customWidth="1" collapsed="1"/>
    <col min="27" max="27" width="16.28515625" style="657" customWidth="1"/>
    <col min="28" max="28" width="13.140625" style="657" bestFit="1" customWidth="1"/>
    <col min="29" max="29" width="12.7109375" style="657" bestFit="1" customWidth="1"/>
    <col min="30" max="30" width="15.42578125" style="657" customWidth="1"/>
    <col min="31" max="16384" width="9.140625" style="657"/>
  </cols>
  <sheetData>
    <row r="1" spans="1:256" ht="20.25">
      <c r="A1" s="975" t="s">
        <v>140</v>
      </c>
      <c r="B1" s="975"/>
      <c r="C1" s="975"/>
      <c r="D1" s="975"/>
      <c r="E1" s="975"/>
      <c r="F1" s="975"/>
      <c r="G1" s="975"/>
      <c r="H1" s="975"/>
      <c r="I1" s="975"/>
      <c r="J1" s="975"/>
      <c r="K1" s="975"/>
      <c r="L1" s="975"/>
      <c r="M1" s="975"/>
      <c r="N1" s="975"/>
      <c r="O1" s="975"/>
      <c r="P1" s="975"/>
      <c r="Q1" s="640"/>
      <c r="R1" s="640"/>
      <c r="S1" s="639" t="s">
        <v>944</v>
      </c>
      <c r="T1" s="641" t="s">
        <v>945</v>
      </c>
      <c r="U1" s="640"/>
      <c r="V1" s="640"/>
      <c r="W1" s="640"/>
      <c r="X1" s="640"/>
      <c r="Y1" s="640"/>
      <c r="Z1" s="640"/>
      <c r="AA1" s="640"/>
      <c r="AB1" s="640"/>
      <c r="AC1" s="640"/>
      <c r="AD1" s="640"/>
      <c r="AE1" s="640"/>
      <c r="AF1" s="640"/>
      <c r="AG1" s="640"/>
      <c r="AH1" s="640"/>
      <c r="AI1" s="640"/>
      <c r="AJ1" s="640"/>
      <c r="AK1" s="640"/>
      <c r="AL1" s="640"/>
      <c r="AM1" s="640"/>
      <c r="AN1" s="640"/>
      <c r="AO1" s="640"/>
      <c r="AP1" s="640"/>
      <c r="AQ1" s="640"/>
      <c r="AR1" s="640"/>
      <c r="AS1" s="640"/>
      <c r="AT1" s="640"/>
      <c r="AU1" s="640"/>
      <c r="AV1" s="640"/>
      <c r="AW1" s="640"/>
      <c r="AX1" s="640"/>
      <c r="AY1" s="640"/>
      <c r="AZ1" s="640"/>
      <c r="BA1" s="640"/>
      <c r="BB1" s="640"/>
      <c r="BC1" s="640"/>
      <c r="BD1" s="640"/>
      <c r="BE1" s="640"/>
      <c r="BF1" s="640"/>
      <c r="BG1" s="640"/>
      <c r="BH1" s="640"/>
      <c r="BI1" s="640"/>
      <c r="BJ1" s="640"/>
      <c r="BK1" s="640"/>
      <c r="BL1" s="640"/>
      <c r="BM1" s="640"/>
      <c r="BN1" s="640"/>
      <c r="BO1" s="640"/>
      <c r="BP1" s="640"/>
      <c r="BQ1" s="640"/>
      <c r="BR1" s="640"/>
      <c r="BS1" s="640"/>
      <c r="BT1" s="640"/>
      <c r="BU1" s="640"/>
      <c r="BV1" s="640"/>
      <c r="BW1" s="640"/>
      <c r="BX1" s="640"/>
      <c r="BY1" s="640"/>
      <c r="BZ1" s="640"/>
      <c r="CA1" s="640"/>
      <c r="CB1" s="640"/>
      <c r="CC1" s="640"/>
      <c r="CD1" s="640"/>
      <c r="CE1" s="640"/>
      <c r="CF1" s="640"/>
      <c r="CG1" s="640"/>
      <c r="CH1" s="640"/>
      <c r="CI1" s="640"/>
      <c r="CJ1" s="640"/>
      <c r="CK1" s="640"/>
      <c r="CL1" s="640"/>
      <c r="CM1" s="640"/>
      <c r="CN1" s="640"/>
      <c r="CO1" s="640"/>
      <c r="CP1" s="640"/>
      <c r="CQ1" s="640"/>
      <c r="CR1" s="640"/>
      <c r="CS1" s="640"/>
      <c r="CT1" s="640"/>
      <c r="CU1" s="640"/>
      <c r="CV1" s="640"/>
      <c r="CW1" s="640"/>
      <c r="CX1" s="640"/>
      <c r="CY1" s="640"/>
      <c r="CZ1" s="640"/>
      <c r="DA1" s="640"/>
      <c r="DB1" s="640"/>
      <c r="DC1" s="640"/>
      <c r="DD1" s="640"/>
      <c r="DE1" s="640"/>
      <c r="DF1" s="640"/>
      <c r="DG1" s="640"/>
      <c r="DH1" s="640"/>
      <c r="DI1" s="640"/>
      <c r="DJ1" s="640"/>
      <c r="DK1" s="640"/>
      <c r="DL1" s="640"/>
      <c r="DM1" s="640"/>
      <c r="DN1" s="640"/>
      <c r="DO1" s="640"/>
      <c r="DP1" s="640"/>
      <c r="DQ1" s="640"/>
      <c r="DR1" s="640"/>
      <c r="DS1" s="640"/>
      <c r="DT1" s="640"/>
      <c r="DU1" s="640"/>
      <c r="DV1" s="640"/>
      <c r="DW1" s="640"/>
      <c r="DX1" s="640"/>
      <c r="DY1" s="640"/>
      <c r="DZ1" s="640"/>
      <c r="EA1" s="640"/>
      <c r="EB1" s="640"/>
      <c r="EC1" s="640"/>
      <c r="ED1" s="640"/>
      <c r="EE1" s="640"/>
      <c r="EF1" s="640"/>
      <c r="EG1" s="640"/>
      <c r="EH1" s="640"/>
      <c r="EI1" s="640"/>
      <c r="EJ1" s="640"/>
      <c r="EK1" s="640"/>
      <c r="EL1" s="640"/>
      <c r="EM1" s="640"/>
      <c r="EN1" s="640"/>
      <c r="EO1" s="640"/>
      <c r="EP1" s="640"/>
      <c r="EQ1" s="640"/>
      <c r="ER1" s="640"/>
      <c r="ES1" s="640"/>
      <c r="ET1" s="640"/>
      <c r="EU1" s="640"/>
      <c r="EV1" s="640"/>
      <c r="EW1" s="640"/>
      <c r="EX1" s="640"/>
      <c r="EY1" s="640"/>
      <c r="EZ1" s="640"/>
      <c r="FA1" s="640"/>
      <c r="FB1" s="640"/>
      <c r="FC1" s="640"/>
      <c r="FD1" s="640"/>
      <c r="FE1" s="640"/>
      <c r="FF1" s="640"/>
      <c r="FG1" s="640"/>
      <c r="FH1" s="640"/>
      <c r="FI1" s="640"/>
      <c r="FJ1" s="640"/>
      <c r="FK1" s="640"/>
      <c r="FL1" s="640"/>
      <c r="FM1" s="640"/>
      <c r="FN1" s="640"/>
      <c r="FO1" s="640"/>
      <c r="FP1" s="640"/>
      <c r="FQ1" s="640"/>
      <c r="FR1" s="640"/>
      <c r="FS1" s="640"/>
      <c r="FT1" s="640"/>
      <c r="FU1" s="640"/>
      <c r="FV1" s="640"/>
      <c r="FW1" s="640"/>
      <c r="FX1" s="640"/>
      <c r="FY1" s="640"/>
      <c r="FZ1" s="640"/>
      <c r="GA1" s="640"/>
      <c r="GB1" s="640"/>
      <c r="GC1" s="640"/>
      <c r="GD1" s="640"/>
      <c r="GE1" s="640"/>
      <c r="GF1" s="640"/>
      <c r="GG1" s="640"/>
      <c r="GH1" s="640"/>
      <c r="GI1" s="640"/>
      <c r="GJ1" s="640"/>
      <c r="GK1" s="640"/>
      <c r="GL1" s="640"/>
      <c r="GM1" s="640"/>
      <c r="GN1" s="640"/>
      <c r="GO1" s="640"/>
      <c r="GP1" s="640"/>
      <c r="GQ1" s="640"/>
      <c r="GR1" s="640"/>
      <c r="GS1" s="640"/>
      <c r="GT1" s="640"/>
      <c r="GU1" s="640"/>
      <c r="GV1" s="640"/>
      <c r="GW1" s="640"/>
      <c r="GX1" s="640"/>
      <c r="GY1" s="640"/>
      <c r="GZ1" s="640"/>
      <c r="HA1" s="640"/>
      <c r="HB1" s="640"/>
      <c r="HC1" s="640"/>
      <c r="HD1" s="640"/>
      <c r="HE1" s="640"/>
      <c r="HF1" s="640"/>
      <c r="HG1" s="640"/>
      <c r="HH1" s="640"/>
      <c r="HI1" s="640"/>
      <c r="HJ1" s="640"/>
      <c r="HK1" s="640"/>
      <c r="HL1" s="640"/>
      <c r="HM1" s="640"/>
      <c r="HN1" s="640"/>
      <c r="HO1" s="640"/>
      <c r="HP1" s="640"/>
      <c r="HQ1" s="640"/>
      <c r="HR1" s="640"/>
      <c r="HS1" s="640"/>
      <c r="HT1" s="640"/>
      <c r="HU1" s="640"/>
      <c r="HV1" s="640"/>
      <c r="HW1" s="640"/>
      <c r="HX1" s="640"/>
      <c r="HY1" s="640"/>
      <c r="HZ1" s="640"/>
      <c r="IA1" s="640"/>
      <c r="IB1" s="640"/>
      <c r="IC1" s="640"/>
      <c r="ID1" s="640"/>
      <c r="IE1" s="640"/>
      <c r="IF1" s="640"/>
      <c r="IG1" s="640"/>
      <c r="IH1" s="640"/>
      <c r="II1" s="640"/>
      <c r="IJ1" s="640"/>
      <c r="IK1" s="640"/>
      <c r="IL1" s="640"/>
      <c r="IM1" s="640"/>
      <c r="IN1" s="640"/>
      <c r="IO1" s="640"/>
      <c r="IP1" s="640"/>
      <c r="IQ1" s="640"/>
      <c r="IR1" s="640"/>
      <c r="IS1" s="640"/>
      <c r="IT1" s="640"/>
      <c r="IU1" s="640"/>
      <c r="IV1" s="640"/>
    </row>
    <row r="2" spans="1:256" ht="20.25">
      <c r="A2" s="976" t="s">
        <v>946</v>
      </c>
      <c r="B2" s="975"/>
      <c r="C2" s="975"/>
      <c r="D2" s="975"/>
      <c r="E2" s="975"/>
      <c r="F2" s="975"/>
      <c r="G2" s="975"/>
      <c r="H2" s="975"/>
      <c r="I2" s="975"/>
      <c r="J2" s="975"/>
      <c r="K2" s="975"/>
      <c r="L2" s="975"/>
      <c r="M2" s="975"/>
      <c r="N2" s="975"/>
      <c r="O2" s="975"/>
      <c r="P2" s="975"/>
      <c r="Q2" s="640"/>
      <c r="R2" s="640" t="s">
        <v>947</v>
      </c>
      <c r="S2" s="642">
        <v>1920500</v>
      </c>
      <c r="T2" s="643">
        <f>S2*2</f>
        <v>3841000</v>
      </c>
      <c r="U2" s="640"/>
      <c r="V2" s="640"/>
      <c r="W2" s="640"/>
      <c r="X2" s="640"/>
      <c r="Y2" s="640"/>
      <c r="Z2" s="640"/>
      <c r="AA2" s="640"/>
      <c r="AB2" s="640"/>
      <c r="AC2" s="640"/>
      <c r="AD2" s="640"/>
      <c r="AE2" s="640"/>
      <c r="AF2" s="640"/>
      <c r="AG2" s="640"/>
      <c r="AH2" s="640"/>
      <c r="AI2" s="640"/>
      <c r="AJ2" s="640"/>
      <c r="AK2" s="640"/>
      <c r="AL2" s="640"/>
      <c r="AM2" s="640"/>
      <c r="AN2" s="640"/>
      <c r="AO2" s="640"/>
      <c r="AP2" s="640"/>
      <c r="AQ2" s="640"/>
      <c r="AR2" s="640"/>
      <c r="AS2" s="640"/>
      <c r="AT2" s="640"/>
      <c r="AU2" s="640"/>
      <c r="AV2" s="640"/>
      <c r="AW2" s="640"/>
      <c r="AX2" s="640"/>
      <c r="AY2" s="640"/>
      <c r="AZ2" s="640"/>
      <c r="BA2" s="640"/>
      <c r="BB2" s="640"/>
      <c r="BC2" s="640"/>
      <c r="BD2" s="640"/>
      <c r="BE2" s="640"/>
      <c r="BF2" s="640"/>
      <c r="BG2" s="640"/>
      <c r="BH2" s="640"/>
      <c r="BI2" s="640"/>
      <c r="BJ2" s="640"/>
      <c r="BK2" s="640"/>
      <c r="BL2" s="640"/>
      <c r="BM2" s="640"/>
      <c r="BN2" s="640"/>
      <c r="BO2" s="640"/>
      <c r="BP2" s="640"/>
      <c r="BQ2" s="640"/>
      <c r="BR2" s="640"/>
      <c r="BS2" s="640"/>
      <c r="BT2" s="640"/>
      <c r="BU2" s="640"/>
      <c r="BV2" s="640"/>
      <c r="BW2" s="640"/>
      <c r="BX2" s="640"/>
      <c r="BY2" s="640"/>
      <c r="BZ2" s="640"/>
      <c r="CA2" s="640"/>
      <c r="CB2" s="640"/>
      <c r="CC2" s="640"/>
      <c r="CD2" s="640"/>
      <c r="CE2" s="640"/>
      <c r="CF2" s="640"/>
      <c r="CG2" s="640"/>
      <c r="CH2" s="640"/>
      <c r="CI2" s="640"/>
      <c r="CJ2" s="640"/>
      <c r="CK2" s="640"/>
      <c r="CL2" s="640"/>
      <c r="CM2" s="640"/>
      <c r="CN2" s="640"/>
      <c r="CO2" s="640"/>
      <c r="CP2" s="640"/>
      <c r="CQ2" s="640"/>
      <c r="CR2" s="640"/>
      <c r="CS2" s="640"/>
      <c r="CT2" s="640"/>
      <c r="CU2" s="640"/>
      <c r="CV2" s="640"/>
      <c r="CW2" s="640"/>
      <c r="CX2" s="640"/>
      <c r="CY2" s="640"/>
      <c r="CZ2" s="640"/>
      <c r="DA2" s="640"/>
      <c r="DB2" s="640"/>
      <c r="DC2" s="640"/>
      <c r="DD2" s="640"/>
      <c r="DE2" s="640"/>
      <c r="DF2" s="640"/>
      <c r="DG2" s="640"/>
      <c r="DH2" s="640"/>
      <c r="DI2" s="640"/>
      <c r="DJ2" s="640"/>
      <c r="DK2" s="640"/>
      <c r="DL2" s="640"/>
      <c r="DM2" s="640"/>
      <c r="DN2" s="640"/>
      <c r="DO2" s="640"/>
      <c r="DP2" s="640"/>
      <c r="DQ2" s="640"/>
      <c r="DR2" s="640"/>
      <c r="DS2" s="640"/>
      <c r="DT2" s="640"/>
      <c r="DU2" s="640"/>
      <c r="DV2" s="640"/>
      <c r="DW2" s="640"/>
      <c r="DX2" s="640"/>
      <c r="DY2" s="640"/>
      <c r="DZ2" s="640"/>
      <c r="EA2" s="640"/>
      <c r="EB2" s="640"/>
      <c r="EC2" s="640"/>
      <c r="ED2" s="640"/>
      <c r="EE2" s="640"/>
      <c r="EF2" s="640"/>
      <c r="EG2" s="640"/>
      <c r="EH2" s="640"/>
      <c r="EI2" s="640"/>
      <c r="EJ2" s="640"/>
      <c r="EK2" s="640"/>
      <c r="EL2" s="640"/>
      <c r="EM2" s="640"/>
      <c r="EN2" s="640"/>
      <c r="EO2" s="640"/>
      <c r="EP2" s="640"/>
      <c r="EQ2" s="640"/>
      <c r="ER2" s="640"/>
      <c r="ES2" s="640"/>
      <c r="ET2" s="640"/>
      <c r="EU2" s="640"/>
      <c r="EV2" s="640"/>
      <c r="EW2" s="640"/>
      <c r="EX2" s="640"/>
      <c r="EY2" s="640"/>
      <c r="EZ2" s="640"/>
      <c r="FA2" s="640"/>
      <c r="FB2" s="640"/>
      <c r="FC2" s="640"/>
      <c r="FD2" s="640"/>
      <c r="FE2" s="640"/>
      <c r="FF2" s="640"/>
      <c r="FG2" s="640"/>
      <c r="FH2" s="640"/>
      <c r="FI2" s="640"/>
      <c r="FJ2" s="640"/>
      <c r="FK2" s="640"/>
      <c r="FL2" s="640"/>
      <c r="FM2" s="640"/>
      <c r="FN2" s="640"/>
      <c r="FO2" s="640"/>
      <c r="FP2" s="640"/>
      <c r="FQ2" s="640"/>
      <c r="FR2" s="640"/>
      <c r="FS2" s="640"/>
      <c r="FT2" s="640"/>
      <c r="FU2" s="640"/>
      <c r="FV2" s="640"/>
      <c r="FW2" s="640"/>
      <c r="FX2" s="640"/>
      <c r="FY2" s="640"/>
      <c r="FZ2" s="640"/>
      <c r="GA2" s="640"/>
      <c r="GB2" s="640"/>
      <c r="GC2" s="640"/>
      <c r="GD2" s="640"/>
      <c r="GE2" s="640"/>
      <c r="GF2" s="640"/>
      <c r="GG2" s="640"/>
      <c r="GH2" s="640"/>
      <c r="GI2" s="640"/>
      <c r="GJ2" s="640"/>
      <c r="GK2" s="640"/>
      <c r="GL2" s="640"/>
      <c r="GM2" s="640"/>
      <c r="GN2" s="640"/>
      <c r="GO2" s="640"/>
      <c r="GP2" s="640"/>
      <c r="GQ2" s="640"/>
      <c r="GR2" s="640"/>
      <c r="GS2" s="640"/>
      <c r="GT2" s="640"/>
      <c r="GU2" s="640"/>
      <c r="GV2" s="640"/>
      <c r="GW2" s="640"/>
      <c r="GX2" s="640"/>
      <c r="GY2" s="640"/>
      <c r="GZ2" s="640"/>
      <c r="HA2" s="640"/>
      <c r="HB2" s="640"/>
      <c r="HC2" s="640"/>
      <c r="HD2" s="640"/>
      <c r="HE2" s="640"/>
      <c r="HF2" s="640"/>
      <c r="HG2" s="640"/>
      <c r="HH2" s="640"/>
      <c r="HI2" s="640"/>
      <c r="HJ2" s="640"/>
      <c r="HK2" s="640"/>
      <c r="HL2" s="640"/>
      <c r="HM2" s="640"/>
      <c r="HN2" s="640"/>
      <c r="HO2" s="640"/>
      <c r="HP2" s="640"/>
      <c r="HQ2" s="640"/>
      <c r="HR2" s="640"/>
      <c r="HS2" s="640"/>
      <c r="HT2" s="640"/>
      <c r="HU2" s="640"/>
      <c r="HV2" s="640"/>
      <c r="HW2" s="640"/>
      <c r="HX2" s="640"/>
      <c r="HY2" s="640"/>
      <c r="HZ2" s="640"/>
      <c r="IA2" s="640"/>
      <c r="IB2" s="640"/>
      <c r="IC2" s="640"/>
      <c r="ID2" s="640"/>
      <c r="IE2" s="640"/>
      <c r="IF2" s="640"/>
      <c r="IG2" s="640"/>
      <c r="IH2" s="640"/>
      <c r="II2" s="640"/>
      <c r="IJ2" s="640"/>
      <c r="IK2" s="640"/>
      <c r="IL2" s="640"/>
      <c r="IM2" s="640"/>
      <c r="IN2" s="640"/>
      <c r="IO2" s="640"/>
      <c r="IP2" s="640"/>
      <c r="IQ2" s="640"/>
      <c r="IR2" s="640"/>
      <c r="IS2" s="640"/>
      <c r="IT2" s="640"/>
      <c r="IU2" s="640"/>
      <c r="IV2" s="640"/>
    </row>
    <row r="3" spans="1:256" ht="20.25">
      <c r="A3" s="975" t="s">
        <v>948</v>
      </c>
      <c r="B3" s="975"/>
      <c r="C3" s="975"/>
      <c r="D3" s="975"/>
      <c r="E3" s="975"/>
      <c r="F3" s="975"/>
      <c r="G3" s="975"/>
      <c r="H3" s="975"/>
      <c r="I3" s="975"/>
      <c r="J3" s="975"/>
      <c r="K3" s="975"/>
      <c r="L3" s="975"/>
      <c r="M3" s="975"/>
      <c r="N3" s="975"/>
      <c r="O3" s="975"/>
      <c r="P3" s="975"/>
      <c r="Q3" s="640"/>
      <c r="R3" s="640" t="s">
        <v>949</v>
      </c>
      <c r="S3" s="644">
        <f>S2*0.2</f>
        <v>384100</v>
      </c>
      <c r="T3" s="644">
        <f>T2*0.2</f>
        <v>768200</v>
      </c>
      <c r="U3" s="640"/>
      <c r="V3" s="640"/>
      <c r="W3" s="640"/>
      <c r="X3" s="640"/>
      <c r="Y3" s="640"/>
      <c r="Z3" s="640"/>
      <c r="AA3" s="640"/>
      <c r="AB3" s="640"/>
      <c r="AC3" s="640"/>
      <c r="AD3" s="640"/>
      <c r="AE3" s="640"/>
      <c r="AF3" s="640"/>
      <c r="AG3" s="640"/>
      <c r="AH3" s="640"/>
      <c r="AI3" s="640"/>
      <c r="AJ3" s="640"/>
      <c r="AK3" s="640"/>
      <c r="AL3" s="640"/>
      <c r="AM3" s="640"/>
      <c r="AN3" s="640"/>
      <c r="AO3" s="640"/>
      <c r="AP3" s="640"/>
      <c r="AQ3" s="640"/>
      <c r="AR3" s="640"/>
      <c r="AS3" s="640"/>
      <c r="AT3" s="640"/>
      <c r="AU3" s="640"/>
      <c r="AV3" s="640"/>
      <c r="AW3" s="640"/>
      <c r="AX3" s="640"/>
      <c r="AY3" s="640"/>
      <c r="AZ3" s="640"/>
      <c r="BA3" s="640"/>
      <c r="BB3" s="640"/>
      <c r="BC3" s="640"/>
      <c r="BD3" s="640"/>
      <c r="BE3" s="640"/>
      <c r="BF3" s="640"/>
      <c r="BG3" s="640"/>
      <c r="BH3" s="640"/>
      <c r="BI3" s="640"/>
      <c r="BJ3" s="640"/>
      <c r="BK3" s="640"/>
      <c r="BL3" s="640"/>
      <c r="BM3" s="640"/>
      <c r="BN3" s="640"/>
      <c r="BO3" s="640"/>
      <c r="BP3" s="640"/>
      <c r="BQ3" s="640"/>
      <c r="BR3" s="640"/>
      <c r="BS3" s="640"/>
      <c r="BT3" s="640"/>
      <c r="BU3" s="640"/>
      <c r="BV3" s="640"/>
      <c r="BW3" s="640"/>
      <c r="BX3" s="640"/>
      <c r="BY3" s="640"/>
      <c r="BZ3" s="640"/>
      <c r="CA3" s="640"/>
      <c r="CB3" s="640"/>
      <c r="CC3" s="640"/>
      <c r="CD3" s="640"/>
      <c r="CE3" s="640"/>
      <c r="CF3" s="640"/>
      <c r="CG3" s="640"/>
      <c r="CH3" s="640"/>
      <c r="CI3" s="640"/>
      <c r="CJ3" s="640"/>
      <c r="CK3" s="640"/>
      <c r="CL3" s="640"/>
      <c r="CM3" s="640"/>
      <c r="CN3" s="640"/>
      <c r="CO3" s="640"/>
      <c r="CP3" s="640"/>
      <c r="CQ3" s="640"/>
      <c r="CR3" s="640"/>
      <c r="CS3" s="640"/>
      <c r="CT3" s="640"/>
      <c r="CU3" s="640"/>
      <c r="CV3" s="640"/>
      <c r="CW3" s="640"/>
      <c r="CX3" s="640"/>
      <c r="CY3" s="640"/>
      <c r="CZ3" s="640"/>
      <c r="DA3" s="640"/>
      <c r="DB3" s="640"/>
      <c r="DC3" s="640"/>
      <c r="DD3" s="640"/>
      <c r="DE3" s="640"/>
      <c r="DF3" s="640"/>
      <c r="DG3" s="640"/>
      <c r="DH3" s="640"/>
      <c r="DI3" s="640"/>
      <c r="DJ3" s="640"/>
      <c r="DK3" s="640"/>
      <c r="DL3" s="640"/>
      <c r="DM3" s="640"/>
      <c r="DN3" s="640"/>
      <c r="DO3" s="640"/>
      <c r="DP3" s="640"/>
      <c r="DQ3" s="640"/>
      <c r="DR3" s="640"/>
      <c r="DS3" s="640"/>
      <c r="DT3" s="640"/>
      <c r="DU3" s="640"/>
      <c r="DV3" s="640"/>
      <c r="DW3" s="640"/>
      <c r="DX3" s="640"/>
      <c r="DY3" s="640"/>
      <c r="DZ3" s="640"/>
      <c r="EA3" s="640"/>
      <c r="EB3" s="640"/>
      <c r="EC3" s="640"/>
      <c r="ED3" s="640"/>
      <c r="EE3" s="640"/>
      <c r="EF3" s="640"/>
      <c r="EG3" s="640"/>
      <c r="EH3" s="640"/>
      <c r="EI3" s="640"/>
      <c r="EJ3" s="640"/>
      <c r="EK3" s="640"/>
      <c r="EL3" s="640"/>
      <c r="EM3" s="640"/>
      <c r="EN3" s="640"/>
      <c r="EO3" s="640"/>
      <c r="EP3" s="640"/>
      <c r="EQ3" s="640"/>
      <c r="ER3" s="640"/>
      <c r="ES3" s="640"/>
      <c r="ET3" s="640"/>
      <c r="EU3" s="640"/>
      <c r="EV3" s="640"/>
      <c r="EW3" s="640"/>
      <c r="EX3" s="640"/>
      <c r="EY3" s="640"/>
      <c r="EZ3" s="640"/>
      <c r="FA3" s="640"/>
      <c r="FB3" s="640"/>
      <c r="FC3" s="640"/>
      <c r="FD3" s="640"/>
      <c r="FE3" s="640"/>
      <c r="FF3" s="640"/>
      <c r="FG3" s="640"/>
      <c r="FH3" s="640"/>
      <c r="FI3" s="640"/>
      <c r="FJ3" s="640"/>
      <c r="FK3" s="640"/>
      <c r="FL3" s="640"/>
      <c r="FM3" s="640"/>
      <c r="FN3" s="640"/>
      <c r="FO3" s="640"/>
      <c r="FP3" s="640"/>
      <c r="FQ3" s="640"/>
      <c r="FR3" s="640"/>
      <c r="FS3" s="640"/>
      <c r="FT3" s="640"/>
      <c r="FU3" s="640"/>
      <c r="FV3" s="640"/>
      <c r="FW3" s="640"/>
      <c r="FX3" s="640"/>
      <c r="FY3" s="640"/>
      <c r="FZ3" s="640"/>
      <c r="GA3" s="640"/>
      <c r="GB3" s="640"/>
      <c r="GC3" s="640"/>
      <c r="GD3" s="640"/>
      <c r="GE3" s="640"/>
      <c r="GF3" s="640"/>
      <c r="GG3" s="640"/>
      <c r="GH3" s="640"/>
      <c r="GI3" s="640"/>
      <c r="GJ3" s="640"/>
      <c r="GK3" s="640"/>
      <c r="GL3" s="640"/>
      <c r="GM3" s="640"/>
      <c r="GN3" s="640"/>
      <c r="GO3" s="640"/>
      <c r="GP3" s="640"/>
      <c r="GQ3" s="640"/>
      <c r="GR3" s="640"/>
      <c r="GS3" s="640"/>
      <c r="GT3" s="640"/>
      <c r="GU3" s="640"/>
      <c r="GV3" s="640"/>
      <c r="GW3" s="640"/>
      <c r="GX3" s="640"/>
      <c r="GY3" s="640"/>
      <c r="GZ3" s="640"/>
      <c r="HA3" s="640"/>
      <c r="HB3" s="640"/>
      <c r="HC3" s="640"/>
      <c r="HD3" s="640"/>
      <c r="HE3" s="640"/>
      <c r="HF3" s="640"/>
      <c r="HG3" s="640"/>
      <c r="HH3" s="640"/>
      <c r="HI3" s="640"/>
      <c r="HJ3" s="640"/>
      <c r="HK3" s="640"/>
      <c r="HL3" s="640"/>
      <c r="HM3" s="640"/>
      <c r="HN3" s="640"/>
      <c r="HO3" s="640"/>
      <c r="HP3" s="640"/>
      <c r="HQ3" s="640"/>
      <c r="HR3" s="640"/>
      <c r="HS3" s="640"/>
      <c r="HT3" s="640"/>
      <c r="HU3" s="640"/>
      <c r="HV3" s="640"/>
      <c r="HW3" s="640"/>
      <c r="HX3" s="640"/>
      <c r="HY3" s="640"/>
      <c r="HZ3" s="640"/>
      <c r="IA3" s="640"/>
      <c r="IB3" s="640"/>
      <c r="IC3" s="640"/>
      <c r="ID3" s="640"/>
      <c r="IE3" s="640"/>
      <c r="IF3" s="640"/>
      <c r="IG3" s="640"/>
      <c r="IH3" s="640"/>
      <c r="II3" s="640"/>
      <c r="IJ3" s="640"/>
      <c r="IK3" s="640"/>
      <c r="IL3" s="640"/>
      <c r="IM3" s="640"/>
      <c r="IN3" s="640"/>
      <c r="IO3" s="640"/>
      <c r="IP3" s="640"/>
      <c r="IQ3" s="640"/>
      <c r="IR3" s="640"/>
      <c r="IS3" s="640"/>
      <c r="IT3" s="640"/>
      <c r="IU3" s="640"/>
      <c r="IV3" s="640"/>
    </row>
    <row r="4" spans="1:256" ht="20.25">
      <c r="A4" s="977" t="s">
        <v>950</v>
      </c>
      <c r="B4" s="977"/>
      <c r="C4" s="977"/>
      <c r="D4" s="977"/>
      <c r="E4" s="977"/>
      <c r="F4" s="977"/>
      <c r="G4" s="977"/>
      <c r="H4" s="977"/>
      <c r="I4" s="977"/>
      <c r="J4" s="977"/>
      <c r="K4" s="977"/>
      <c r="L4" s="977"/>
      <c r="M4" s="977"/>
      <c r="N4" s="977"/>
      <c r="O4" s="977"/>
      <c r="P4" s="977"/>
      <c r="Q4" s="640"/>
      <c r="R4" s="640"/>
      <c r="S4" s="640"/>
      <c r="T4" s="640"/>
      <c r="U4" s="640"/>
      <c r="V4" s="640"/>
      <c r="W4" s="640"/>
      <c r="X4" s="640"/>
      <c r="Y4" s="640"/>
      <c r="Z4" s="640"/>
      <c r="AA4" s="640"/>
      <c r="AB4" s="640"/>
      <c r="AC4" s="640"/>
      <c r="AD4" s="640"/>
      <c r="AE4" s="640"/>
      <c r="AF4" s="640"/>
      <c r="AG4" s="640"/>
      <c r="AH4" s="640"/>
      <c r="AI4" s="640"/>
      <c r="AJ4" s="640"/>
      <c r="AK4" s="640"/>
      <c r="AL4" s="640"/>
      <c r="AM4" s="640"/>
      <c r="AN4" s="640"/>
      <c r="AO4" s="640"/>
      <c r="AP4" s="640"/>
      <c r="AQ4" s="640"/>
      <c r="AR4" s="640"/>
      <c r="AS4" s="640"/>
      <c r="AT4" s="640"/>
      <c r="AU4" s="640"/>
      <c r="AV4" s="640"/>
      <c r="AW4" s="640"/>
      <c r="AX4" s="640"/>
      <c r="AY4" s="640"/>
      <c r="AZ4" s="640"/>
      <c r="BA4" s="640"/>
      <c r="BB4" s="640"/>
      <c r="BC4" s="640"/>
      <c r="BD4" s="640"/>
      <c r="BE4" s="640"/>
      <c r="BF4" s="640"/>
      <c r="BG4" s="640"/>
      <c r="BH4" s="640"/>
      <c r="BI4" s="640"/>
      <c r="BJ4" s="640"/>
      <c r="BK4" s="640"/>
      <c r="BL4" s="640"/>
      <c r="BM4" s="640"/>
      <c r="BN4" s="640"/>
      <c r="BO4" s="640"/>
      <c r="BP4" s="640"/>
      <c r="BQ4" s="640"/>
      <c r="BR4" s="640"/>
      <c r="BS4" s="640"/>
      <c r="BT4" s="640"/>
      <c r="BU4" s="640"/>
      <c r="BV4" s="640"/>
      <c r="BW4" s="640"/>
      <c r="BX4" s="640"/>
      <c r="BY4" s="640"/>
      <c r="BZ4" s="640"/>
      <c r="CA4" s="640"/>
      <c r="CB4" s="640"/>
      <c r="CC4" s="640"/>
      <c r="CD4" s="640"/>
      <c r="CE4" s="640"/>
      <c r="CF4" s="640"/>
      <c r="CG4" s="640"/>
      <c r="CH4" s="640"/>
      <c r="CI4" s="640"/>
      <c r="CJ4" s="640"/>
      <c r="CK4" s="640"/>
      <c r="CL4" s="640"/>
      <c r="CM4" s="640"/>
      <c r="CN4" s="640"/>
      <c r="CO4" s="640"/>
      <c r="CP4" s="640"/>
      <c r="CQ4" s="640"/>
      <c r="CR4" s="640"/>
      <c r="CS4" s="640"/>
      <c r="CT4" s="640"/>
      <c r="CU4" s="640"/>
      <c r="CV4" s="640"/>
      <c r="CW4" s="640"/>
      <c r="CX4" s="640"/>
      <c r="CY4" s="640"/>
      <c r="CZ4" s="640"/>
      <c r="DA4" s="640"/>
      <c r="DB4" s="640"/>
      <c r="DC4" s="640"/>
      <c r="DD4" s="640"/>
      <c r="DE4" s="640"/>
      <c r="DF4" s="640"/>
      <c r="DG4" s="640"/>
      <c r="DH4" s="640"/>
      <c r="DI4" s="640"/>
      <c r="DJ4" s="640"/>
      <c r="DK4" s="640"/>
      <c r="DL4" s="640"/>
      <c r="DM4" s="640"/>
      <c r="DN4" s="640"/>
      <c r="DO4" s="640"/>
      <c r="DP4" s="640"/>
      <c r="DQ4" s="640"/>
      <c r="DR4" s="640"/>
      <c r="DS4" s="640"/>
      <c r="DT4" s="640"/>
      <c r="DU4" s="640"/>
      <c r="DV4" s="640"/>
      <c r="DW4" s="640"/>
      <c r="DX4" s="640"/>
      <c r="DY4" s="640"/>
      <c r="DZ4" s="640"/>
      <c r="EA4" s="640"/>
      <c r="EB4" s="640"/>
      <c r="EC4" s="640"/>
      <c r="ED4" s="640"/>
      <c r="EE4" s="640"/>
      <c r="EF4" s="640"/>
      <c r="EG4" s="640"/>
      <c r="EH4" s="640"/>
      <c r="EI4" s="640"/>
      <c r="EJ4" s="640"/>
      <c r="EK4" s="640"/>
      <c r="EL4" s="640"/>
      <c r="EM4" s="640"/>
      <c r="EN4" s="640"/>
      <c r="EO4" s="640"/>
      <c r="EP4" s="640"/>
      <c r="EQ4" s="640"/>
      <c r="ER4" s="640"/>
      <c r="ES4" s="640"/>
      <c r="ET4" s="640"/>
      <c r="EU4" s="640"/>
      <c r="EV4" s="640"/>
      <c r="EW4" s="640"/>
      <c r="EX4" s="640"/>
      <c r="EY4" s="640"/>
      <c r="EZ4" s="640"/>
      <c r="FA4" s="640"/>
      <c r="FB4" s="640"/>
      <c r="FC4" s="640"/>
      <c r="FD4" s="640"/>
      <c r="FE4" s="640"/>
      <c r="FF4" s="640"/>
      <c r="FG4" s="640"/>
      <c r="FH4" s="640"/>
      <c r="FI4" s="640"/>
      <c r="FJ4" s="640"/>
      <c r="FK4" s="640"/>
      <c r="FL4" s="640"/>
      <c r="FM4" s="640"/>
      <c r="FN4" s="640"/>
      <c r="FO4" s="640"/>
      <c r="FP4" s="640"/>
      <c r="FQ4" s="640"/>
      <c r="FR4" s="640"/>
      <c r="FS4" s="640"/>
      <c r="FT4" s="640"/>
      <c r="FU4" s="640"/>
      <c r="FV4" s="640"/>
      <c r="FW4" s="640"/>
      <c r="FX4" s="640"/>
      <c r="FY4" s="640"/>
      <c r="FZ4" s="640"/>
      <c r="GA4" s="640"/>
      <c r="GB4" s="640"/>
      <c r="GC4" s="640"/>
      <c r="GD4" s="640"/>
      <c r="GE4" s="640"/>
      <c r="GF4" s="640"/>
      <c r="GG4" s="640"/>
      <c r="GH4" s="640"/>
      <c r="GI4" s="640"/>
      <c r="GJ4" s="640"/>
      <c r="GK4" s="640"/>
      <c r="GL4" s="640"/>
      <c r="GM4" s="640"/>
      <c r="GN4" s="640"/>
      <c r="GO4" s="640"/>
      <c r="GP4" s="640"/>
      <c r="GQ4" s="640"/>
      <c r="GR4" s="640"/>
      <c r="GS4" s="640"/>
      <c r="GT4" s="640"/>
      <c r="GU4" s="640"/>
      <c r="GV4" s="640"/>
      <c r="GW4" s="640"/>
      <c r="GX4" s="640"/>
      <c r="GY4" s="640"/>
      <c r="GZ4" s="640"/>
      <c r="HA4" s="640"/>
      <c r="HB4" s="640"/>
      <c r="HC4" s="640"/>
      <c r="HD4" s="640"/>
      <c r="HE4" s="640"/>
      <c r="HF4" s="640"/>
      <c r="HG4" s="640"/>
      <c r="HH4" s="640"/>
      <c r="HI4" s="640"/>
      <c r="HJ4" s="640"/>
      <c r="HK4" s="640"/>
      <c r="HL4" s="640"/>
      <c r="HM4" s="640"/>
      <c r="HN4" s="640"/>
      <c r="HO4" s="640"/>
      <c r="HP4" s="640"/>
      <c r="HQ4" s="640"/>
      <c r="HR4" s="640"/>
      <c r="HS4" s="640"/>
      <c r="HT4" s="640"/>
      <c r="HU4" s="640"/>
      <c r="HV4" s="640"/>
      <c r="HW4" s="640"/>
      <c r="HX4" s="640"/>
      <c r="HY4" s="640"/>
      <c r="HZ4" s="640"/>
      <c r="IA4" s="640"/>
      <c r="IB4" s="640"/>
      <c r="IC4" s="640"/>
      <c r="ID4" s="640"/>
      <c r="IE4" s="640"/>
      <c r="IF4" s="640"/>
      <c r="IG4" s="640"/>
      <c r="IH4" s="640"/>
      <c r="II4" s="640"/>
      <c r="IJ4" s="640"/>
      <c r="IK4" s="640"/>
      <c r="IL4" s="640"/>
      <c r="IM4" s="640"/>
      <c r="IN4" s="640"/>
      <c r="IO4" s="640"/>
      <c r="IP4" s="640"/>
      <c r="IQ4" s="640"/>
      <c r="IR4" s="640"/>
      <c r="IS4" s="640"/>
      <c r="IT4" s="640"/>
      <c r="IU4" s="640"/>
      <c r="IV4" s="640"/>
    </row>
    <row r="5" spans="1:256" ht="20.25">
      <c r="A5" s="857" t="str">
        <f>'[1]PL TongHOp 21-25 (IN)'!A4:AB4</f>
        <v>(Kèm theo Tờ trình số              /TTr-UBND ngày        /9/2024 của Ủy ban nhân dân tỉnh Quảng Ngãi)</v>
      </c>
      <c r="B5" s="857"/>
      <c r="C5" s="857"/>
      <c r="D5" s="857"/>
      <c r="E5" s="857"/>
      <c r="F5" s="857"/>
      <c r="G5" s="857"/>
      <c r="H5" s="857"/>
      <c r="I5" s="857"/>
      <c r="J5" s="857"/>
      <c r="K5" s="857"/>
      <c r="L5" s="857"/>
      <c r="M5" s="857"/>
      <c r="N5" s="857"/>
      <c r="O5" s="857"/>
      <c r="P5" s="857"/>
      <c r="Q5" s="645"/>
      <c r="R5" s="646"/>
      <c r="S5" s="646">
        <v>1600000</v>
      </c>
      <c r="T5" s="646">
        <v>1561082</v>
      </c>
      <c r="U5" s="647">
        <f>S2</f>
        <v>1920500</v>
      </c>
      <c r="V5" s="648">
        <f>S2</f>
        <v>1920500</v>
      </c>
      <c r="W5" s="647">
        <f>U5+463000</f>
        <v>2383500</v>
      </c>
      <c r="X5" s="647">
        <f>W5*2</f>
        <v>4767000</v>
      </c>
      <c r="Y5" s="645"/>
      <c r="Z5" s="645"/>
      <c r="AA5" s="645"/>
      <c r="AB5" s="645"/>
      <c r="AC5" s="645"/>
      <c r="AD5" s="645"/>
      <c r="AE5" s="645"/>
      <c r="AF5" s="645"/>
      <c r="AG5" s="645"/>
      <c r="AH5" s="645"/>
      <c r="AI5" s="645"/>
      <c r="AJ5" s="645"/>
      <c r="AK5" s="645"/>
      <c r="AL5" s="645"/>
      <c r="AM5" s="645"/>
      <c r="AN5" s="645"/>
      <c r="AO5" s="645"/>
      <c r="AP5" s="645"/>
      <c r="AQ5" s="645"/>
      <c r="AR5" s="645"/>
      <c r="AS5" s="645"/>
      <c r="AT5" s="645"/>
      <c r="AU5" s="645"/>
      <c r="AV5" s="645"/>
      <c r="AW5" s="645"/>
      <c r="AX5" s="645"/>
      <c r="AY5" s="645"/>
      <c r="AZ5" s="645"/>
      <c r="BA5" s="645"/>
      <c r="BB5" s="645"/>
      <c r="BC5" s="645"/>
      <c r="BD5" s="645"/>
      <c r="BE5" s="645"/>
      <c r="BF5" s="645"/>
      <c r="BG5" s="645"/>
      <c r="BH5" s="645"/>
      <c r="BI5" s="645"/>
      <c r="BJ5" s="645"/>
      <c r="BK5" s="645"/>
      <c r="BL5" s="645"/>
      <c r="BM5" s="645"/>
      <c r="BN5" s="645"/>
      <c r="BO5" s="645"/>
      <c r="BP5" s="645"/>
      <c r="BQ5" s="645"/>
      <c r="BR5" s="645"/>
      <c r="BS5" s="645"/>
      <c r="BT5" s="645"/>
      <c r="BU5" s="645"/>
      <c r="BV5" s="645"/>
      <c r="BW5" s="645"/>
      <c r="BX5" s="645"/>
      <c r="BY5" s="645"/>
      <c r="BZ5" s="645"/>
      <c r="CA5" s="645"/>
      <c r="CB5" s="645"/>
      <c r="CC5" s="645"/>
      <c r="CD5" s="645"/>
      <c r="CE5" s="645"/>
      <c r="CF5" s="645"/>
      <c r="CG5" s="645"/>
      <c r="CH5" s="645"/>
      <c r="CI5" s="645"/>
      <c r="CJ5" s="645"/>
      <c r="CK5" s="645"/>
      <c r="CL5" s="645"/>
      <c r="CM5" s="645"/>
      <c r="CN5" s="645"/>
      <c r="CO5" s="645"/>
      <c r="CP5" s="645"/>
      <c r="CQ5" s="645"/>
      <c r="CR5" s="645"/>
      <c r="CS5" s="645"/>
      <c r="CT5" s="645"/>
      <c r="CU5" s="645"/>
      <c r="CV5" s="645"/>
      <c r="CW5" s="645"/>
      <c r="CX5" s="645"/>
      <c r="CY5" s="645"/>
      <c r="CZ5" s="645"/>
      <c r="DA5" s="645"/>
      <c r="DB5" s="645"/>
      <c r="DC5" s="645"/>
      <c r="DD5" s="645"/>
      <c r="DE5" s="645"/>
      <c r="DF5" s="645"/>
      <c r="DG5" s="645"/>
      <c r="DH5" s="645"/>
      <c r="DI5" s="645"/>
      <c r="DJ5" s="645"/>
      <c r="DK5" s="645"/>
      <c r="DL5" s="645"/>
      <c r="DM5" s="645"/>
      <c r="DN5" s="645"/>
      <c r="DO5" s="645"/>
      <c r="DP5" s="645"/>
      <c r="DQ5" s="645"/>
      <c r="DR5" s="645"/>
      <c r="DS5" s="645"/>
      <c r="DT5" s="645"/>
      <c r="DU5" s="645"/>
      <c r="DV5" s="645"/>
      <c r="DW5" s="645"/>
      <c r="DX5" s="645"/>
      <c r="DY5" s="645"/>
      <c r="DZ5" s="645"/>
      <c r="EA5" s="645"/>
      <c r="EB5" s="645"/>
      <c r="EC5" s="645"/>
      <c r="ED5" s="645"/>
      <c r="EE5" s="645"/>
      <c r="EF5" s="645"/>
      <c r="EG5" s="645"/>
      <c r="EH5" s="645"/>
      <c r="EI5" s="645"/>
      <c r="EJ5" s="645"/>
      <c r="EK5" s="645"/>
      <c r="EL5" s="645"/>
      <c r="EM5" s="645"/>
      <c r="EN5" s="645"/>
      <c r="EO5" s="645"/>
      <c r="EP5" s="645"/>
      <c r="EQ5" s="645"/>
      <c r="ER5" s="645"/>
      <c r="ES5" s="645"/>
      <c r="ET5" s="645"/>
      <c r="EU5" s="645"/>
      <c r="EV5" s="645"/>
      <c r="EW5" s="645"/>
      <c r="EX5" s="645"/>
      <c r="EY5" s="645"/>
      <c r="EZ5" s="645"/>
      <c r="FA5" s="645"/>
      <c r="FB5" s="645"/>
      <c r="FC5" s="645"/>
      <c r="FD5" s="645"/>
      <c r="FE5" s="645"/>
      <c r="FF5" s="645"/>
      <c r="FG5" s="645"/>
      <c r="FH5" s="645"/>
      <c r="FI5" s="645"/>
      <c r="FJ5" s="645"/>
      <c r="FK5" s="645"/>
      <c r="FL5" s="645"/>
      <c r="FM5" s="645"/>
      <c r="FN5" s="645"/>
      <c r="FO5" s="645"/>
      <c r="FP5" s="645"/>
      <c r="FQ5" s="645"/>
      <c r="FR5" s="645"/>
      <c r="FS5" s="645"/>
      <c r="FT5" s="645"/>
      <c r="FU5" s="645"/>
      <c r="FV5" s="645"/>
      <c r="FW5" s="645"/>
      <c r="FX5" s="645"/>
      <c r="FY5" s="645"/>
      <c r="FZ5" s="645"/>
      <c r="GA5" s="645"/>
      <c r="GB5" s="645"/>
      <c r="GC5" s="645"/>
      <c r="GD5" s="645"/>
      <c r="GE5" s="645"/>
      <c r="GF5" s="645"/>
      <c r="GG5" s="645"/>
      <c r="GH5" s="645"/>
      <c r="GI5" s="645"/>
      <c r="GJ5" s="645"/>
      <c r="GK5" s="645"/>
      <c r="GL5" s="645"/>
      <c r="GM5" s="645"/>
      <c r="GN5" s="645"/>
      <c r="GO5" s="645"/>
      <c r="GP5" s="645"/>
      <c r="GQ5" s="645"/>
      <c r="GR5" s="645"/>
      <c r="GS5" s="645"/>
      <c r="GT5" s="645"/>
      <c r="GU5" s="645"/>
      <c r="GV5" s="645"/>
      <c r="GW5" s="645"/>
      <c r="GX5" s="645"/>
      <c r="GY5" s="645"/>
      <c r="GZ5" s="645"/>
      <c r="HA5" s="645"/>
      <c r="HB5" s="645"/>
      <c r="HC5" s="645"/>
      <c r="HD5" s="645"/>
      <c r="HE5" s="645"/>
      <c r="HF5" s="645"/>
      <c r="HG5" s="645"/>
      <c r="HH5" s="645"/>
      <c r="HI5" s="645"/>
      <c r="HJ5" s="645"/>
      <c r="HK5" s="645"/>
      <c r="HL5" s="645"/>
      <c r="HM5" s="645"/>
      <c r="HN5" s="645"/>
      <c r="HO5" s="645"/>
      <c r="HP5" s="645"/>
      <c r="HQ5" s="645"/>
      <c r="HR5" s="645"/>
      <c r="HS5" s="645"/>
      <c r="HT5" s="645"/>
      <c r="HU5" s="645"/>
      <c r="HV5" s="645"/>
      <c r="HW5" s="645"/>
      <c r="HX5" s="645"/>
      <c r="HY5" s="645"/>
      <c r="HZ5" s="645"/>
      <c r="IA5" s="645"/>
      <c r="IB5" s="645"/>
      <c r="IC5" s="645"/>
      <c r="ID5" s="645"/>
      <c r="IE5" s="645"/>
      <c r="IF5" s="645"/>
      <c r="IG5" s="645"/>
      <c r="IH5" s="645"/>
      <c r="II5" s="645"/>
      <c r="IJ5" s="645"/>
      <c r="IK5" s="645"/>
      <c r="IL5" s="645"/>
      <c r="IM5" s="645"/>
      <c r="IN5" s="645"/>
      <c r="IO5" s="645"/>
      <c r="IP5" s="645"/>
      <c r="IQ5" s="645"/>
      <c r="IR5" s="645"/>
      <c r="IS5" s="645"/>
      <c r="IT5" s="645"/>
      <c r="IU5" s="645"/>
      <c r="IV5" s="645"/>
    </row>
    <row r="6" spans="1:256" ht="16.5">
      <c r="A6" s="649"/>
      <c r="B6" s="649"/>
      <c r="C6" s="649"/>
      <c r="D6" s="649"/>
      <c r="E6" s="649"/>
      <c r="F6" s="649"/>
      <c r="G6" s="649"/>
      <c r="H6" s="649"/>
      <c r="I6" s="649"/>
      <c r="J6" s="649"/>
      <c r="K6" s="649"/>
      <c r="L6" s="649"/>
      <c r="M6" s="649"/>
      <c r="N6" s="649"/>
      <c r="O6" s="649"/>
      <c r="P6" s="649"/>
      <c r="Q6" s="650"/>
      <c r="R6" s="651"/>
      <c r="S6" s="651"/>
      <c r="T6" s="651"/>
      <c r="U6" s="652"/>
      <c r="V6" s="653"/>
      <c r="W6" s="652"/>
      <c r="X6" s="652"/>
      <c r="Y6" s="650"/>
      <c r="Z6" s="650"/>
      <c r="AA6" s="650"/>
      <c r="AB6" s="650"/>
      <c r="AC6" s="650"/>
      <c r="AD6" s="650"/>
      <c r="AE6" s="650"/>
      <c r="AF6" s="650"/>
      <c r="AG6" s="650"/>
      <c r="AH6" s="650"/>
      <c r="AI6" s="650"/>
      <c r="AJ6" s="650"/>
      <c r="AK6" s="650"/>
      <c r="AL6" s="650"/>
      <c r="AM6" s="650"/>
      <c r="AN6" s="650"/>
      <c r="AO6" s="650"/>
      <c r="AP6" s="650"/>
      <c r="AQ6" s="650"/>
      <c r="AR6" s="650"/>
      <c r="AS6" s="650"/>
      <c r="AT6" s="650"/>
      <c r="AU6" s="650"/>
      <c r="AV6" s="650"/>
      <c r="AW6" s="650"/>
      <c r="AX6" s="650"/>
      <c r="AY6" s="650"/>
      <c r="AZ6" s="650"/>
      <c r="BA6" s="650"/>
      <c r="BB6" s="650"/>
      <c r="BC6" s="650"/>
      <c r="BD6" s="650"/>
      <c r="BE6" s="650"/>
      <c r="BF6" s="650"/>
      <c r="BG6" s="650"/>
      <c r="BH6" s="650"/>
      <c r="BI6" s="650"/>
      <c r="BJ6" s="650"/>
      <c r="BK6" s="650"/>
      <c r="BL6" s="650"/>
      <c r="BM6" s="650"/>
      <c r="BN6" s="650"/>
      <c r="BO6" s="650"/>
      <c r="BP6" s="650"/>
      <c r="BQ6" s="650"/>
      <c r="BR6" s="650"/>
      <c r="BS6" s="650"/>
      <c r="BT6" s="650"/>
      <c r="BU6" s="650"/>
      <c r="BV6" s="650"/>
      <c r="BW6" s="650"/>
      <c r="BX6" s="650"/>
      <c r="BY6" s="650"/>
      <c r="BZ6" s="650"/>
      <c r="CA6" s="650"/>
      <c r="CB6" s="650"/>
      <c r="CC6" s="650"/>
      <c r="CD6" s="650"/>
      <c r="CE6" s="650"/>
      <c r="CF6" s="650"/>
      <c r="CG6" s="650"/>
      <c r="CH6" s="650"/>
      <c r="CI6" s="650"/>
      <c r="CJ6" s="650"/>
      <c r="CK6" s="650"/>
      <c r="CL6" s="650"/>
      <c r="CM6" s="650"/>
      <c r="CN6" s="650"/>
      <c r="CO6" s="650"/>
      <c r="CP6" s="650"/>
      <c r="CQ6" s="650"/>
      <c r="CR6" s="650"/>
      <c r="CS6" s="650"/>
      <c r="CT6" s="650"/>
      <c r="CU6" s="650"/>
      <c r="CV6" s="650"/>
      <c r="CW6" s="650"/>
      <c r="CX6" s="650"/>
      <c r="CY6" s="650"/>
      <c r="CZ6" s="650"/>
      <c r="DA6" s="650"/>
      <c r="DB6" s="650"/>
      <c r="DC6" s="650"/>
      <c r="DD6" s="650"/>
      <c r="DE6" s="650"/>
      <c r="DF6" s="650"/>
      <c r="DG6" s="650"/>
      <c r="DH6" s="650"/>
      <c r="DI6" s="650"/>
      <c r="DJ6" s="650"/>
      <c r="DK6" s="650"/>
      <c r="DL6" s="650"/>
      <c r="DM6" s="650"/>
      <c r="DN6" s="650"/>
      <c r="DO6" s="650"/>
      <c r="DP6" s="650"/>
      <c r="DQ6" s="650"/>
      <c r="DR6" s="650"/>
      <c r="DS6" s="650"/>
      <c r="DT6" s="650"/>
      <c r="DU6" s="650"/>
      <c r="DV6" s="650"/>
      <c r="DW6" s="650"/>
      <c r="DX6" s="650"/>
      <c r="DY6" s="650"/>
      <c r="DZ6" s="650"/>
      <c r="EA6" s="650"/>
      <c r="EB6" s="650"/>
      <c r="EC6" s="650"/>
      <c r="ED6" s="650"/>
      <c r="EE6" s="650"/>
      <c r="EF6" s="650"/>
      <c r="EG6" s="650"/>
      <c r="EH6" s="650"/>
      <c r="EI6" s="650"/>
      <c r="EJ6" s="650"/>
      <c r="EK6" s="650"/>
      <c r="EL6" s="650"/>
      <c r="EM6" s="650"/>
      <c r="EN6" s="650"/>
      <c r="EO6" s="650"/>
      <c r="EP6" s="650"/>
      <c r="EQ6" s="650"/>
      <c r="ER6" s="650"/>
      <c r="ES6" s="650"/>
      <c r="ET6" s="650"/>
      <c r="EU6" s="650"/>
      <c r="EV6" s="650"/>
      <c r="EW6" s="650"/>
      <c r="EX6" s="650"/>
      <c r="EY6" s="650"/>
      <c r="EZ6" s="650"/>
      <c r="FA6" s="650"/>
      <c r="FB6" s="650"/>
      <c r="FC6" s="650"/>
      <c r="FD6" s="650"/>
      <c r="FE6" s="650"/>
      <c r="FF6" s="650"/>
      <c r="FG6" s="650"/>
      <c r="FH6" s="650"/>
      <c r="FI6" s="650"/>
      <c r="FJ6" s="650"/>
      <c r="FK6" s="650"/>
      <c r="FL6" s="650"/>
      <c r="FM6" s="650"/>
      <c r="FN6" s="650"/>
      <c r="FO6" s="650"/>
      <c r="FP6" s="650"/>
      <c r="FQ6" s="650"/>
      <c r="FR6" s="650"/>
      <c r="FS6" s="650"/>
      <c r="FT6" s="650"/>
      <c r="FU6" s="650"/>
      <c r="FV6" s="650"/>
      <c r="FW6" s="650"/>
      <c r="FX6" s="650"/>
      <c r="FY6" s="650"/>
      <c r="FZ6" s="650"/>
      <c r="GA6" s="650"/>
      <c r="GB6" s="650"/>
      <c r="GC6" s="650"/>
      <c r="GD6" s="650"/>
      <c r="GE6" s="650"/>
      <c r="GF6" s="650"/>
      <c r="GG6" s="650"/>
      <c r="GH6" s="650"/>
      <c r="GI6" s="650"/>
      <c r="GJ6" s="650"/>
      <c r="GK6" s="650"/>
      <c r="GL6" s="650"/>
      <c r="GM6" s="650"/>
      <c r="GN6" s="650"/>
      <c r="GO6" s="650"/>
      <c r="GP6" s="650"/>
      <c r="GQ6" s="650"/>
      <c r="GR6" s="650"/>
      <c r="GS6" s="650"/>
      <c r="GT6" s="650"/>
      <c r="GU6" s="650"/>
      <c r="GV6" s="650"/>
      <c r="GW6" s="650"/>
      <c r="GX6" s="650"/>
      <c r="GY6" s="650"/>
      <c r="GZ6" s="650"/>
      <c r="HA6" s="650"/>
      <c r="HB6" s="650"/>
      <c r="HC6" s="650"/>
      <c r="HD6" s="650"/>
      <c r="HE6" s="650"/>
      <c r="HF6" s="650"/>
      <c r="HG6" s="650"/>
      <c r="HH6" s="650"/>
      <c r="HI6" s="650"/>
      <c r="HJ6" s="650"/>
      <c r="HK6" s="650"/>
      <c r="HL6" s="650"/>
      <c r="HM6" s="650"/>
      <c r="HN6" s="650"/>
      <c r="HO6" s="650"/>
      <c r="HP6" s="650"/>
      <c r="HQ6" s="650"/>
      <c r="HR6" s="650"/>
      <c r="HS6" s="650"/>
      <c r="HT6" s="650"/>
      <c r="HU6" s="650"/>
      <c r="HV6" s="650"/>
      <c r="HW6" s="650"/>
      <c r="HX6" s="650"/>
      <c r="HY6" s="650"/>
      <c r="HZ6" s="650"/>
      <c r="IA6" s="650"/>
      <c r="IB6" s="650"/>
      <c r="IC6" s="650"/>
      <c r="ID6" s="650"/>
      <c r="IE6" s="650"/>
      <c r="IF6" s="650"/>
      <c r="IG6" s="650"/>
      <c r="IH6" s="650"/>
      <c r="II6" s="650"/>
      <c r="IJ6" s="650"/>
      <c r="IK6" s="650"/>
      <c r="IL6" s="650"/>
      <c r="IM6" s="650"/>
      <c r="IN6" s="650"/>
      <c r="IO6" s="650"/>
      <c r="IP6" s="650"/>
      <c r="IQ6" s="650"/>
      <c r="IR6" s="650"/>
      <c r="IS6" s="650"/>
      <c r="IT6" s="650"/>
      <c r="IU6" s="650"/>
      <c r="IV6" s="650"/>
    </row>
    <row r="7" spans="1:256" ht="18.75">
      <c r="A7" s="654"/>
      <c r="B7" s="654"/>
      <c r="C7" s="654"/>
      <c r="D7" s="974" t="s">
        <v>951</v>
      </c>
      <c r="E7" s="974"/>
      <c r="F7" s="974"/>
      <c r="G7" s="974"/>
      <c r="H7" s="974"/>
      <c r="I7" s="974"/>
      <c r="J7" s="974"/>
      <c r="K7" s="974"/>
      <c r="L7" s="974"/>
      <c r="M7" s="974"/>
      <c r="N7" s="974"/>
      <c r="O7" s="974"/>
      <c r="P7" s="974"/>
      <c r="Q7" s="655"/>
      <c r="R7" s="656">
        <f>1881000-1700000</f>
        <v>181000</v>
      </c>
      <c r="S7" s="655"/>
      <c r="T7" s="655"/>
      <c r="U7" s="655"/>
      <c r="V7" s="655"/>
      <c r="W7" s="655"/>
      <c r="X7" s="655"/>
      <c r="Y7" s="655"/>
      <c r="Z7" s="655"/>
      <c r="AA7" s="655"/>
      <c r="AB7" s="655"/>
      <c r="AC7" s="655"/>
      <c r="AD7" s="655"/>
      <c r="AE7" s="655"/>
      <c r="AF7" s="655"/>
      <c r="AG7" s="655"/>
      <c r="AH7" s="655"/>
      <c r="AI7" s="655"/>
    </row>
    <row r="8" spans="1:256" ht="18.75">
      <c r="A8" s="979" t="s">
        <v>663</v>
      </c>
      <c r="B8" s="979" t="s">
        <v>952</v>
      </c>
      <c r="C8" s="979" t="s">
        <v>953</v>
      </c>
      <c r="D8" s="979" t="s">
        <v>954</v>
      </c>
      <c r="E8" s="982" t="s">
        <v>955</v>
      </c>
      <c r="F8" s="982"/>
      <c r="G8" s="979" t="s">
        <v>956</v>
      </c>
      <c r="H8" s="979" t="s">
        <v>957</v>
      </c>
      <c r="I8" s="982" t="s">
        <v>958</v>
      </c>
      <c r="J8" s="982"/>
      <c r="K8" s="982"/>
      <c r="L8" s="982"/>
      <c r="M8" s="982"/>
      <c r="N8" s="982"/>
      <c r="O8" s="979" t="s">
        <v>959</v>
      </c>
      <c r="P8" s="979" t="s">
        <v>9</v>
      </c>
      <c r="Q8" s="659"/>
      <c r="R8" s="651">
        <f>R9/2</f>
        <v>416124</v>
      </c>
      <c r="S8" s="659"/>
      <c r="T8" s="941" t="s">
        <v>960</v>
      </c>
      <c r="U8" s="659"/>
      <c r="V8" s="659"/>
      <c r="W8" s="659"/>
      <c r="X8" s="659"/>
      <c r="Y8" s="659"/>
      <c r="Z8" s="659"/>
      <c r="AA8" s="659"/>
      <c r="AB8" s="659"/>
      <c r="AC8" s="659"/>
      <c r="AD8" s="659"/>
      <c r="AE8" s="659"/>
      <c r="AF8" s="659"/>
      <c r="AG8" s="659"/>
      <c r="AH8" s="659"/>
      <c r="AI8" s="659"/>
      <c r="AJ8" s="659"/>
      <c r="AK8" s="659"/>
      <c r="AL8" s="659"/>
      <c r="AM8" s="659"/>
      <c r="AN8" s="659"/>
      <c r="AO8" s="659"/>
      <c r="AP8" s="659"/>
      <c r="AQ8" s="659"/>
      <c r="AR8" s="659"/>
      <c r="AS8" s="659"/>
      <c r="AT8" s="659"/>
      <c r="AU8" s="659"/>
      <c r="AV8" s="659"/>
      <c r="AW8" s="659"/>
      <c r="AX8" s="659"/>
      <c r="AY8" s="659"/>
      <c r="AZ8" s="659"/>
      <c r="BA8" s="659"/>
      <c r="BB8" s="659"/>
      <c r="BC8" s="659"/>
      <c r="BD8" s="659"/>
      <c r="BE8" s="659"/>
      <c r="BF8" s="659"/>
      <c r="BG8" s="659"/>
      <c r="BH8" s="659"/>
      <c r="BI8" s="659"/>
      <c r="BJ8" s="659"/>
      <c r="BK8" s="659"/>
      <c r="BL8" s="659"/>
      <c r="BM8" s="659"/>
      <c r="BN8" s="659"/>
      <c r="BO8" s="659"/>
      <c r="BP8" s="659"/>
      <c r="BQ8" s="659"/>
      <c r="BR8" s="659"/>
      <c r="BS8" s="659"/>
      <c r="BT8" s="659"/>
      <c r="BU8" s="659"/>
      <c r="BV8" s="659"/>
      <c r="BW8" s="659"/>
      <c r="BX8" s="659"/>
      <c r="BY8" s="659"/>
      <c r="BZ8" s="659"/>
      <c r="CA8" s="659"/>
      <c r="CB8" s="659"/>
      <c r="CC8" s="659"/>
      <c r="CD8" s="659"/>
      <c r="CE8" s="659"/>
      <c r="CF8" s="659"/>
      <c r="CG8" s="659"/>
      <c r="CH8" s="659"/>
      <c r="CI8" s="659"/>
      <c r="CJ8" s="659"/>
      <c r="CK8" s="659"/>
      <c r="CL8" s="659"/>
      <c r="CM8" s="659"/>
      <c r="CN8" s="659"/>
      <c r="CO8" s="659"/>
      <c r="CP8" s="659"/>
      <c r="CQ8" s="659"/>
      <c r="CR8" s="659"/>
      <c r="CS8" s="659"/>
      <c r="CT8" s="659"/>
      <c r="CU8" s="659"/>
      <c r="CV8" s="659"/>
      <c r="CW8" s="659"/>
      <c r="CX8" s="659"/>
      <c r="CY8" s="659"/>
      <c r="CZ8" s="659"/>
      <c r="DA8" s="659"/>
      <c r="DB8" s="659"/>
      <c r="DC8" s="659"/>
      <c r="DD8" s="659"/>
      <c r="DE8" s="659"/>
      <c r="DF8" s="659"/>
      <c r="DG8" s="659"/>
      <c r="DH8" s="659"/>
      <c r="DI8" s="659"/>
      <c r="DJ8" s="659"/>
      <c r="DK8" s="659"/>
      <c r="DL8" s="659"/>
      <c r="DM8" s="659"/>
      <c r="DN8" s="659"/>
      <c r="DO8" s="659"/>
      <c r="DP8" s="659"/>
      <c r="DQ8" s="659"/>
      <c r="DR8" s="659"/>
      <c r="DS8" s="659"/>
      <c r="DT8" s="659"/>
      <c r="DU8" s="659"/>
      <c r="DV8" s="659"/>
      <c r="DW8" s="659"/>
      <c r="DX8" s="659"/>
      <c r="DY8" s="659"/>
      <c r="DZ8" s="659"/>
      <c r="EA8" s="659"/>
      <c r="EB8" s="659"/>
      <c r="EC8" s="659"/>
      <c r="ED8" s="659"/>
      <c r="EE8" s="659"/>
      <c r="EF8" s="659"/>
      <c r="EG8" s="659"/>
      <c r="EH8" s="659"/>
      <c r="EI8" s="659"/>
      <c r="EJ8" s="659"/>
      <c r="EK8" s="659"/>
      <c r="EL8" s="659"/>
      <c r="EM8" s="659"/>
      <c r="EN8" s="659"/>
      <c r="EO8" s="659"/>
      <c r="EP8" s="659"/>
      <c r="EQ8" s="659"/>
      <c r="ER8" s="659"/>
      <c r="ES8" s="659"/>
      <c r="ET8" s="659"/>
      <c r="EU8" s="659"/>
      <c r="EV8" s="659"/>
      <c r="EW8" s="659"/>
      <c r="EX8" s="659"/>
      <c r="EY8" s="659"/>
      <c r="EZ8" s="659"/>
      <c r="FA8" s="659"/>
      <c r="FB8" s="659"/>
      <c r="FC8" s="659"/>
      <c r="FD8" s="659"/>
      <c r="FE8" s="659"/>
      <c r="FF8" s="659"/>
      <c r="FG8" s="659"/>
      <c r="FH8" s="659"/>
      <c r="FI8" s="659"/>
      <c r="FJ8" s="659"/>
      <c r="FK8" s="659"/>
      <c r="FL8" s="659"/>
      <c r="FM8" s="659"/>
      <c r="FN8" s="659"/>
      <c r="FO8" s="659"/>
      <c r="FP8" s="659"/>
      <c r="FQ8" s="659"/>
      <c r="FR8" s="659"/>
      <c r="FS8" s="659"/>
      <c r="FT8" s="659"/>
      <c r="FU8" s="659"/>
      <c r="FV8" s="659"/>
      <c r="FW8" s="659"/>
      <c r="FX8" s="659"/>
      <c r="FY8" s="659"/>
      <c r="FZ8" s="659"/>
      <c r="GA8" s="659"/>
      <c r="GB8" s="659"/>
      <c r="GC8" s="659"/>
      <c r="GD8" s="659"/>
      <c r="GE8" s="659"/>
      <c r="GF8" s="659"/>
      <c r="GG8" s="659"/>
      <c r="GH8" s="659"/>
      <c r="GI8" s="659"/>
      <c r="GJ8" s="659"/>
      <c r="GK8" s="659"/>
      <c r="GL8" s="659"/>
      <c r="GM8" s="659"/>
      <c r="GN8" s="659"/>
      <c r="GO8" s="659"/>
      <c r="GP8" s="659"/>
      <c r="GQ8" s="659"/>
      <c r="GR8" s="659"/>
      <c r="GS8" s="659"/>
      <c r="GT8" s="659"/>
      <c r="GU8" s="659"/>
      <c r="GV8" s="659"/>
      <c r="GW8" s="659"/>
      <c r="GX8" s="659"/>
      <c r="GY8" s="659"/>
      <c r="GZ8" s="659"/>
      <c r="HA8" s="659"/>
      <c r="HB8" s="659"/>
      <c r="HC8" s="659"/>
      <c r="HD8" s="659"/>
      <c r="HE8" s="659"/>
      <c r="HF8" s="659"/>
      <c r="HG8" s="659"/>
      <c r="HH8" s="659"/>
      <c r="HI8" s="659"/>
      <c r="HJ8" s="659"/>
      <c r="HK8" s="659"/>
      <c r="HL8" s="659"/>
      <c r="HM8" s="659"/>
      <c r="HN8" s="659"/>
      <c r="HO8" s="659"/>
      <c r="HP8" s="659"/>
      <c r="HQ8" s="659"/>
      <c r="HR8" s="659"/>
      <c r="HS8" s="659"/>
      <c r="HT8" s="659"/>
      <c r="HU8" s="659"/>
      <c r="HV8" s="659"/>
      <c r="HW8" s="659"/>
      <c r="HX8" s="659"/>
      <c r="HY8" s="659"/>
      <c r="HZ8" s="659"/>
      <c r="IA8" s="659"/>
      <c r="IB8" s="659"/>
      <c r="IC8" s="659"/>
      <c r="ID8" s="659"/>
      <c r="IE8" s="659"/>
      <c r="IF8" s="659"/>
      <c r="IG8" s="659"/>
      <c r="IH8" s="659"/>
      <c r="II8" s="659"/>
      <c r="IJ8" s="659"/>
      <c r="IK8" s="659"/>
      <c r="IL8" s="659"/>
      <c r="IM8" s="659"/>
      <c r="IN8" s="659"/>
      <c r="IO8" s="659"/>
      <c r="IP8" s="659"/>
      <c r="IQ8" s="659"/>
      <c r="IR8" s="659"/>
      <c r="IS8" s="659"/>
      <c r="IT8" s="659"/>
      <c r="IU8" s="659"/>
      <c r="IV8" s="659"/>
    </row>
    <row r="9" spans="1:256" ht="18.75">
      <c r="A9" s="980"/>
      <c r="B9" s="980"/>
      <c r="C9" s="980"/>
      <c r="D9" s="980"/>
      <c r="E9" s="982"/>
      <c r="F9" s="982"/>
      <c r="G9" s="980"/>
      <c r="H9" s="980"/>
      <c r="I9" s="982" t="s">
        <v>163</v>
      </c>
      <c r="J9" s="982" t="s">
        <v>12</v>
      </c>
      <c r="K9" s="982"/>
      <c r="L9" s="982"/>
      <c r="M9" s="982"/>
      <c r="N9" s="982"/>
      <c r="O9" s="980"/>
      <c r="P9" s="980"/>
      <c r="Q9" s="659"/>
      <c r="R9" s="651">
        <f>'[1]PB1-DU KIEN NGUON'!M15</f>
        <v>832248</v>
      </c>
      <c r="S9" s="659"/>
      <c r="T9" s="942"/>
      <c r="U9" s="659"/>
      <c r="V9" s="659"/>
      <c r="W9" s="659"/>
      <c r="X9" s="659"/>
      <c r="Y9" s="659"/>
      <c r="Z9" s="659"/>
      <c r="AA9" s="659"/>
      <c r="AB9" s="659"/>
      <c r="AC9" s="659"/>
      <c r="AD9" s="659"/>
      <c r="AE9" s="659"/>
      <c r="AF9" s="659"/>
      <c r="AG9" s="659"/>
      <c r="AH9" s="659"/>
      <c r="AI9" s="659"/>
      <c r="AJ9" s="659"/>
      <c r="AK9" s="659"/>
      <c r="AL9" s="659"/>
      <c r="AM9" s="659"/>
      <c r="AN9" s="659"/>
      <c r="AO9" s="659"/>
      <c r="AP9" s="659"/>
      <c r="AQ9" s="659"/>
      <c r="AR9" s="659"/>
      <c r="AS9" s="659"/>
      <c r="AT9" s="659"/>
      <c r="AU9" s="659"/>
      <c r="AV9" s="659"/>
      <c r="AW9" s="659"/>
      <c r="AX9" s="659"/>
      <c r="AY9" s="659"/>
      <c r="AZ9" s="659"/>
      <c r="BA9" s="659"/>
      <c r="BB9" s="659"/>
      <c r="BC9" s="659"/>
      <c r="BD9" s="659"/>
      <c r="BE9" s="659"/>
      <c r="BF9" s="659"/>
      <c r="BG9" s="659"/>
      <c r="BH9" s="659"/>
      <c r="BI9" s="659"/>
      <c r="BJ9" s="659"/>
      <c r="BK9" s="659"/>
      <c r="BL9" s="659"/>
      <c r="BM9" s="659"/>
      <c r="BN9" s="659"/>
      <c r="BO9" s="659"/>
      <c r="BP9" s="659"/>
      <c r="BQ9" s="659"/>
      <c r="BR9" s="659"/>
      <c r="BS9" s="659"/>
      <c r="BT9" s="659"/>
      <c r="BU9" s="659"/>
      <c r="BV9" s="659"/>
      <c r="BW9" s="659"/>
      <c r="BX9" s="659"/>
      <c r="BY9" s="659"/>
      <c r="BZ9" s="659"/>
      <c r="CA9" s="659"/>
      <c r="CB9" s="659"/>
      <c r="CC9" s="659"/>
      <c r="CD9" s="659"/>
      <c r="CE9" s="659"/>
      <c r="CF9" s="659"/>
      <c r="CG9" s="659"/>
      <c r="CH9" s="659"/>
      <c r="CI9" s="659"/>
      <c r="CJ9" s="659"/>
      <c r="CK9" s="659"/>
      <c r="CL9" s="659"/>
      <c r="CM9" s="659"/>
      <c r="CN9" s="659"/>
      <c r="CO9" s="659"/>
      <c r="CP9" s="659"/>
      <c r="CQ9" s="659"/>
      <c r="CR9" s="659"/>
      <c r="CS9" s="659"/>
      <c r="CT9" s="659"/>
      <c r="CU9" s="659"/>
      <c r="CV9" s="659"/>
      <c r="CW9" s="659"/>
      <c r="CX9" s="659"/>
      <c r="CY9" s="659"/>
      <c r="CZ9" s="659"/>
      <c r="DA9" s="659"/>
      <c r="DB9" s="659"/>
      <c r="DC9" s="659"/>
      <c r="DD9" s="659"/>
      <c r="DE9" s="659"/>
      <c r="DF9" s="659"/>
      <c r="DG9" s="659"/>
      <c r="DH9" s="659"/>
      <c r="DI9" s="659"/>
      <c r="DJ9" s="659"/>
      <c r="DK9" s="659"/>
      <c r="DL9" s="659"/>
      <c r="DM9" s="659"/>
      <c r="DN9" s="659"/>
      <c r="DO9" s="659"/>
      <c r="DP9" s="659"/>
      <c r="DQ9" s="659"/>
      <c r="DR9" s="659"/>
      <c r="DS9" s="659"/>
      <c r="DT9" s="659"/>
      <c r="DU9" s="659"/>
      <c r="DV9" s="659"/>
      <c r="DW9" s="659"/>
      <c r="DX9" s="659"/>
      <c r="DY9" s="659"/>
      <c r="DZ9" s="659"/>
      <c r="EA9" s="659"/>
      <c r="EB9" s="659"/>
      <c r="EC9" s="659"/>
      <c r="ED9" s="659"/>
      <c r="EE9" s="659"/>
      <c r="EF9" s="659"/>
      <c r="EG9" s="659"/>
      <c r="EH9" s="659"/>
      <c r="EI9" s="659"/>
      <c r="EJ9" s="659"/>
      <c r="EK9" s="659"/>
      <c r="EL9" s="659"/>
      <c r="EM9" s="659"/>
      <c r="EN9" s="659"/>
      <c r="EO9" s="659"/>
      <c r="EP9" s="659"/>
      <c r="EQ9" s="659"/>
      <c r="ER9" s="659"/>
      <c r="ES9" s="659"/>
      <c r="ET9" s="659"/>
      <c r="EU9" s="659"/>
      <c r="EV9" s="659"/>
      <c r="EW9" s="659"/>
      <c r="EX9" s="659"/>
      <c r="EY9" s="659"/>
      <c r="EZ9" s="659"/>
      <c r="FA9" s="659"/>
      <c r="FB9" s="659"/>
      <c r="FC9" s="659"/>
      <c r="FD9" s="659"/>
      <c r="FE9" s="659"/>
      <c r="FF9" s="659"/>
      <c r="FG9" s="659"/>
      <c r="FH9" s="659"/>
      <c r="FI9" s="659"/>
      <c r="FJ9" s="659"/>
      <c r="FK9" s="659"/>
      <c r="FL9" s="659"/>
      <c r="FM9" s="659"/>
      <c r="FN9" s="659"/>
      <c r="FO9" s="659"/>
      <c r="FP9" s="659"/>
      <c r="FQ9" s="659"/>
      <c r="FR9" s="659"/>
      <c r="FS9" s="659"/>
      <c r="FT9" s="659"/>
      <c r="FU9" s="659"/>
      <c r="FV9" s="659"/>
      <c r="FW9" s="659"/>
      <c r="FX9" s="659"/>
      <c r="FY9" s="659"/>
      <c r="FZ9" s="659"/>
      <c r="GA9" s="659"/>
      <c r="GB9" s="659"/>
      <c r="GC9" s="659"/>
      <c r="GD9" s="659"/>
      <c r="GE9" s="659"/>
      <c r="GF9" s="659"/>
      <c r="GG9" s="659"/>
      <c r="GH9" s="659"/>
      <c r="GI9" s="659"/>
      <c r="GJ9" s="659"/>
      <c r="GK9" s="659"/>
      <c r="GL9" s="659"/>
      <c r="GM9" s="659"/>
      <c r="GN9" s="659"/>
      <c r="GO9" s="659"/>
      <c r="GP9" s="659"/>
      <c r="GQ9" s="659"/>
      <c r="GR9" s="659"/>
      <c r="GS9" s="659"/>
      <c r="GT9" s="659"/>
      <c r="GU9" s="659"/>
      <c r="GV9" s="659"/>
      <c r="GW9" s="659"/>
      <c r="GX9" s="659"/>
      <c r="GY9" s="659"/>
      <c r="GZ9" s="659"/>
      <c r="HA9" s="659"/>
      <c r="HB9" s="659"/>
      <c r="HC9" s="659"/>
      <c r="HD9" s="659"/>
      <c r="HE9" s="659"/>
      <c r="HF9" s="659"/>
      <c r="HG9" s="659"/>
      <c r="HH9" s="659"/>
      <c r="HI9" s="659"/>
      <c r="HJ9" s="659"/>
      <c r="HK9" s="659"/>
      <c r="HL9" s="659"/>
      <c r="HM9" s="659"/>
      <c r="HN9" s="659"/>
      <c r="HO9" s="659"/>
      <c r="HP9" s="659"/>
      <c r="HQ9" s="659"/>
      <c r="HR9" s="659"/>
      <c r="HS9" s="659"/>
      <c r="HT9" s="659"/>
      <c r="HU9" s="659"/>
      <c r="HV9" s="659"/>
      <c r="HW9" s="659"/>
      <c r="HX9" s="659"/>
      <c r="HY9" s="659"/>
      <c r="HZ9" s="659"/>
      <c r="IA9" s="659"/>
      <c r="IB9" s="659"/>
      <c r="IC9" s="659"/>
      <c r="ID9" s="659"/>
      <c r="IE9" s="659"/>
      <c r="IF9" s="659"/>
      <c r="IG9" s="659"/>
      <c r="IH9" s="659"/>
      <c r="II9" s="659"/>
      <c r="IJ9" s="659"/>
      <c r="IK9" s="659"/>
      <c r="IL9" s="659"/>
      <c r="IM9" s="659"/>
      <c r="IN9" s="659"/>
      <c r="IO9" s="659"/>
      <c r="IP9" s="659"/>
      <c r="IQ9" s="659"/>
      <c r="IR9" s="659"/>
      <c r="IS9" s="659"/>
      <c r="IT9" s="659"/>
      <c r="IU9" s="659"/>
      <c r="IV9" s="659"/>
    </row>
    <row r="10" spans="1:256" ht="37.5">
      <c r="A10" s="981"/>
      <c r="B10" s="981"/>
      <c r="C10" s="981"/>
      <c r="D10" s="981"/>
      <c r="E10" s="658" t="s">
        <v>961</v>
      </c>
      <c r="F10" s="658" t="s">
        <v>166</v>
      </c>
      <c r="G10" s="981"/>
      <c r="H10" s="981"/>
      <c r="I10" s="982"/>
      <c r="J10" s="658" t="s">
        <v>13</v>
      </c>
      <c r="K10" s="658" t="s">
        <v>14</v>
      </c>
      <c r="L10" s="658" t="s">
        <v>15</v>
      </c>
      <c r="M10" s="661" t="s">
        <v>16</v>
      </c>
      <c r="N10" s="658" t="s">
        <v>962</v>
      </c>
      <c r="O10" s="981"/>
      <c r="P10" s="981"/>
      <c r="Q10" s="659"/>
      <c r="R10" s="662">
        <f>H12/3</f>
        <v>456078.28320879821</v>
      </c>
      <c r="S10" s="662"/>
      <c r="T10" s="943"/>
      <c r="U10" s="659"/>
      <c r="V10" s="659"/>
      <c r="W10" s="659"/>
      <c r="X10" s="659"/>
      <c r="Y10" s="659"/>
      <c r="Z10" s="663"/>
      <c r="AA10" s="664"/>
      <c r="AB10" s="662"/>
      <c r="AC10" s="662"/>
      <c r="AD10" s="659"/>
      <c r="AE10" s="659"/>
      <c r="AF10" s="659"/>
      <c r="AG10" s="659"/>
      <c r="AH10" s="659"/>
      <c r="AI10" s="659"/>
      <c r="AJ10" s="659"/>
      <c r="AK10" s="659"/>
      <c r="AL10" s="659"/>
      <c r="AM10" s="659"/>
      <c r="AN10" s="659"/>
      <c r="AO10" s="659"/>
      <c r="AP10" s="659"/>
      <c r="AQ10" s="659"/>
      <c r="AR10" s="659"/>
      <c r="AS10" s="659"/>
      <c r="AT10" s="659"/>
      <c r="AU10" s="659"/>
      <c r="AV10" s="659"/>
      <c r="AW10" s="659"/>
      <c r="AX10" s="659"/>
      <c r="AY10" s="659"/>
      <c r="AZ10" s="659"/>
      <c r="BA10" s="659"/>
      <c r="BB10" s="659"/>
      <c r="BC10" s="659"/>
      <c r="BD10" s="659"/>
      <c r="BE10" s="659"/>
      <c r="BF10" s="659"/>
      <c r="BG10" s="659"/>
      <c r="BH10" s="659"/>
      <c r="BI10" s="659"/>
      <c r="BJ10" s="659"/>
      <c r="BK10" s="659"/>
      <c r="BL10" s="659"/>
      <c r="BM10" s="659"/>
      <c r="BN10" s="659"/>
      <c r="BO10" s="659"/>
      <c r="BP10" s="659"/>
      <c r="BQ10" s="659"/>
      <c r="BR10" s="659"/>
      <c r="BS10" s="659"/>
      <c r="BT10" s="659"/>
      <c r="BU10" s="659"/>
      <c r="BV10" s="659"/>
      <c r="BW10" s="659"/>
      <c r="BX10" s="659"/>
      <c r="BY10" s="659"/>
      <c r="BZ10" s="659"/>
      <c r="CA10" s="659"/>
      <c r="CB10" s="659"/>
      <c r="CC10" s="659"/>
      <c r="CD10" s="659"/>
      <c r="CE10" s="659"/>
      <c r="CF10" s="659"/>
      <c r="CG10" s="659"/>
      <c r="CH10" s="659"/>
      <c r="CI10" s="659"/>
      <c r="CJ10" s="659"/>
      <c r="CK10" s="659"/>
      <c r="CL10" s="659"/>
      <c r="CM10" s="659"/>
      <c r="CN10" s="659"/>
      <c r="CO10" s="659"/>
      <c r="CP10" s="659"/>
      <c r="CQ10" s="659"/>
      <c r="CR10" s="659"/>
      <c r="CS10" s="659"/>
      <c r="CT10" s="659"/>
      <c r="CU10" s="659"/>
      <c r="CV10" s="659"/>
      <c r="CW10" s="659"/>
      <c r="CX10" s="659"/>
      <c r="CY10" s="659"/>
      <c r="CZ10" s="659"/>
      <c r="DA10" s="659"/>
      <c r="DB10" s="659"/>
      <c r="DC10" s="659"/>
      <c r="DD10" s="659"/>
      <c r="DE10" s="659"/>
      <c r="DF10" s="659"/>
      <c r="DG10" s="659"/>
      <c r="DH10" s="659"/>
      <c r="DI10" s="659"/>
      <c r="DJ10" s="659"/>
      <c r="DK10" s="659"/>
      <c r="DL10" s="659"/>
      <c r="DM10" s="659"/>
      <c r="DN10" s="659"/>
      <c r="DO10" s="659"/>
      <c r="DP10" s="659"/>
      <c r="DQ10" s="659"/>
      <c r="DR10" s="659"/>
      <c r="DS10" s="659"/>
      <c r="DT10" s="659"/>
      <c r="DU10" s="659"/>
      <c r="DV10" s="659"/>
      <c r="DW10" s="659"/>
      <c r="DX10" s="659"/>
      <c r="DY10" s="659"/>
      <c r="DZ10" s="659"/>
      <c r="EA10" s="659"/>
      <c r="EB10" s="659"/>
      <c r="EC10" s="659"/>
      <c r="ED10" s="659"/>
      <c r="EE10" s="659"/>
      <c r="EF10" s="659"/>
      <c r="EG10" s="659"/>
      <c r="EH10" s="659"/>
      <c r="EI10" s="659"/>
      <c r="EJ10" s="659"/>
      <c r="EK10" s="659"/>
      <c r="EL10" s="659"/>
      <c r="EM10" s="659"/>
      <c r="EN10" s="659"/>
      <c r="EO10" s="659"/>
      <c r="EP10" s="659"/>
      <c r="EQ10" s="659"/>
      <c r="ER10" s="659"/>
      <c r="ES10" s="659"/>
      <c r="ET10" s="659"/>
      <c r="EU10" s="659"/>
      <c r="EV10" s="659"/>
      <c r="EW10" s="659"/>
      <c r="EX10" s="659"/>
      <c r="EY10" s="659"/>
      <c r="EZ10" s="659"/>
      <c r="FA10" s="659"/>
      <c r="FB10" s="659"/>
      <c r="FC10" s="659"/>
      <c r="FD10" s="659"/>
      <c r="FE10" s="659"/>
      <c r="FF10" s="659"/>
      <c r="FG10" s="659"/>
      <c r="FH10" s="659"/>
      <c r="FI10" s="659"/>
      <c r="FJ10" s="659"/>
      <c r="FK10" s="659"/>
      <c r="FL10" s="659"/>
      <c r="FM10" s="659"/>
      <c r="FN10" s="659"/>
      <c r="FO10" s="659"/>
      <c r="FP10" s="659"/>
      <c r="FQ10" s="659"/>
      <c r="FR10" s="659"/>
      <c r="FS10" s="659"/>
      <c r="FT10" s="659"/>
      <c r="FU10" s="659"/>
      <c r="FV10" s="659"/>
      <c r="FW10" s="659"/>
      <c r="FX10" s="659"/>
      <c r="FY10" s="659"/>
      <c r="FZ10" s="659"/>
      <c r="GA10" s="659"/>
      <c r="GB10" s="659"/>
      <c r="GC10" s="659"/>
      <c r="GD10" s="659"/>
      <c r="GE10" s="659"/>
      <c r="GF10" s="659"/>
      <c r="GG10" s="659"/>
      <c r="GH10" s="659"/>
      <c r="GI10" s="659"/>
      <c r="GJ10" s="659"/>
      <c r="GK10" s="659"/>
      <c r="GL10" s="659"/>
      <c r="GM10" s="659"/>
      <c r="GN10" s="659"/>
      <c r="GO10" s="659"/>
      <c r="GP10" s="659"/>
      <c r="GQ10" s="659"/>
      <c r="GR10" s="659"/>
      <c r="GS10" s="659"/>
      <c r="GT10" s="659"/>
      <c r="GU10" s="659"/>
      <c r="GV10" s="659"/>
      <c r="GW10" s="659"/>
      <c r="GX10" s="659"/>
      <c r="GY10" s="659"/>
      <c r="GZ10" s="659"/>
      <c r="HA10" s="659"/>
      <c r="HB10" s="659"/>
      <c r="HC10" s="659"/>
      <c r="HD10" s="659"/>
      <c r="HE10" s="659"/>
      <c r="HF10" s="659"/>
      <c r="HG10" s="659"/>
      <c r="HH10" s="659"/>
      <c r="HI10" s="659"/>
      <c r="HJ10" s="659"/>
      <c r="HK10" s="659"/>
      <c r="HL10" s="659"/>
      <c r="HM10" s="659"/>
      <c r="HN10" s="659"/>
      <c r="HO10" s="659"/>
      <c r="HP10" s="659"/>
      <c r="HQ10" s="659"/>
      <c r="HR10" s="659"/>
      <c r="HS10" s="659"/>
      <c r="HT10" s="659"/>
      <c r="HU10" s="659"/>
      <c r="HV10" s="659"/>
      <c r="HW10" s="659"/>
      <c r="HX10" s="659"/>
      <c r="HY10" s="659"/>
      <c r="HZ10" s="659"/>
      <c r="IA10" s="659"/>
      <c r="IB10" s="659"/>
      <c r="IC10" s="659"/>
      <c r="ID10" s="659"/>
      <c r="IE10" s="659"/>
      <c r="IF10" s="659"/>
      <c r="IG10" s="659"/>
      <c r="IH10" s="659"/>
      <c r="II10" s="659"/>
      <c r="IJ10" s="659"/>
      <c r="IK10" s="659"/>
      <c r="IL10" s="659"/>
      <c r="IM10" s="659"/>
      <c r="IN10" s="659"/>
      <c r="IO10" s="659"/>
      <c r="IP10" s="659"/>
      <c r="IQ10" s="659"/>
      <c r="IR10" s="659"/>
      <c r="IS10" s="659"/>
      <c r="IT10" s="659"/>
      <c r="IU10" s="659"/>
      <c r="IV10" s="659"/>
    </row>
    <row r="11" spans="1:256" ht="18.75">
      <c r="A11" s="660">
        <v>1</v>
      </c>
      <c r="B11" s="660">
        <v>2</v>
      </c>
      <c r="C11" s="660">
        <v>3</v>
      </c>
      <c r="D11" s="660">
        <v>4</v>
      </c>
      <c r="E11" s="660">
        <v>5</v>
      </c>
      <c r="F11" s="660">
        <v>6</v>
      </c>
      <c r="G11" s="660">
        <v>7</v>
      </c>
      <c r="H11" s="660">
        <v>8</v>
      </c>
      <c r="I11" s="660">
        <v>6</v>
      </c>
      <c r="J11" s="660">
        <v>7</v>
      </c>
      <c r="K11" s="660">
        <v>8</v>
      </c>
      <c r="L11" s="660">
        <v>9</v>
      </c>
      <c r="M11" s="665">
        <v>10</v>
      </c>
      <c r="N11" s="660">
        <v>11</v>
      </c>
      <c r="O11" s="660">
        <v>12</v>
      </c>
      <c r="P11" s="660">
        <v>9</v>
      </c>
      <c r="Q11" s="659"/>
      <c r="R11" s="662"/>
      <c r="S11" s="662"/>
      <c r="T11" s="633"/>
      <c r="U11" s="659"/>
      <c r="V11" s="659"/>
      <c r="W11" s="659"/>
      <c r="X11" s="659"/>
      <c r="Y11" s="659"/>
      <c r="Z11" s="699">
        <v>2899000</v>
      </c>
      <c r="AA11" s="651">
        <f>Z11-G12</f>
        <v>1059000</v>
      </c>
      <c r="AB11" s="651">
        <f>AA11/13</f>
        <v>81461.538461538468</v>
      </c>
      <c r="AC11" s="659"/>
      <c r="AD11" s="659"/>
      <c r="AE11" s="659"/>
      <c r="AF11" s="659"/>
      <c r="AG11" s="659"/>
      <c r="AH11" s="659"/>
      <c r="AI11" s="659"/>
      <c r="AJ11" s="659"/>
      <c r="AK11" s="659"/>
      <c r="AL11" s="659"/>
      <c r="AM11" s="659"/>
      <c r="AN11" s="659"/>
      <c r="AO11" s="659"/>
      <c r="AP11" s="659"/>
      <c r="AQ11" s="659"/>
      <c r="AR11" s="659"/>
      <c r="AS11" s="659"/>
      <c r="AT11" s="659"/>
      <c r="AU11" s="659"/>
      <c r="AV11" s="659"/>
      <c r="AW11" s="659"/>
      <c r="AX11" s="659"/>
      <c r="AY11" s="659"/>
      <c r="AZ11" s="659"/>
      <c r="BA11" s="659"/>
      <c r="BB11" s="659"/>
      <c r="BC11" s="659"/>
      <c r="BD11" s="659"/>
      <c r="BE11" s="659"/>
      <c r="BF11" s="659"/>
      <c r="BG11" s="659"/>
      <c r="BH11" s="659"/>
      <c r="BI11" s="659"/>
      <c r="BJ11" s="659"/>
      <c r="BK11" s="659"/>
      <c r="BL11" s="659"/>
      <c r="BM11" s="659"/>
      <c r="BN11" s="659"/>
      <c r="BO11" s="659"/>
      <c r="BP11" s="659"/>
      <c r="BQ11" s="659"/>
      <c r="BR11" s="659"/>
      <c r="BS11" s="659"/>
      <c r="BT11" s="659"/>
      <c r="BU11" s="659"/>
      <c r="BV11" s="659"/>
      <c r="BW11" s="659"/>
      <c r="BX11" s="659"/>
      <c r="BY11" s="659"/>
      <c r="BZ11" s="659"/>
      <c r="CA11" s="659"/>
      <c r="CB11" s="659"/>
      <c r="CC11" s="659"/>
      <c r="CD11" s="659"/>
      <c r="CE11" s="659"/>
      <c r="CF11" s="659"/>
      <c r="CG11" s="659"/>
      <c r="CH11" s="659"/>
      <c r="CI11" s="659"/>
      <c r="CJ11" s="659"/>
      <c r="CK11" s="659"/>
      <c r="CL11" s="659"/>
      <c r="CM11" s="659"/>
      <c r="CN11" s="659"/>
      <c r="CO11" s="659"/>
      <c r="CP11" s="659"/>
      <c r="CQ11" s="659"/>
      <c r="CR11" s="659"/>
      <c r="CS11" s="659"/>
      <c r="CT11" s="659"/>
      <c r="CU11" s="659"/>
      <c r="CV11" s="659"/>
      <c r="CW11" s="659"/>
      <c r="CX11" s="659"/>
      <c r="CY11" s="659"/>
      <c r="CZ11" s="659"/>
      <c r="DA11" s="659"/>
      <c r="DB11" s="659"/>
      <c r="DC11" s="659"/>
      <c r="DD11" s="659"/>
      <c r="DE11" s="659"/>
      <c r="DF11" s="659"/>
      <c r="DG11" s="659"/>
      <c r="DH11" s="659"/>
      <c r="DI11" s="659"/>
      <c r="DJ11" s="659"/>
      <c r="DK11" s="659"/>
      <c r="DL11" s="659"/>
      <c r="DM11" s="659"/>
      <c r="DN11" s="659"/>
      <c r="DO11" s="659"/>
      <c r="DP11" s="659"/>
      <c r="DQ11" s="659"/>
      <c r="DR11" s="659"/>
      <c r="DS11" s="659"/>
      <c r="DT11" s="659"/>
      <c r="DU11" s="659"/>
      <c r="DV11" s="659"/>
      <c r="DW11" s="659"/>
      <c r="DX11" s="659"/>
      <c r="DY11" s="659"/>
      <c r="DZ11" s="659"/>
      <c r="EA11" s="659"/>
      <c r="EB11" s="659"/>
      <c r="EC11" s="659"/>
      <c r="ED11" s="659"/>
      <c r="EE11" s="659"/>
      <c r="EF11" s="659"/>
      <c r="EG11" s="659"/>
      <c r="EH11" s="659"/>
      <c r="EI11" s="659"/>
      <c r="EJ11" s="659"/>
      <c r="EK11" s="659"/>
      <c r="EL11" s="659"/>
      <c r="EM11" s="659"/>
      <c r="EN11" s="659"/>
      <c r="EO11" s="659"/>
      <c r="EP11" s="659"/>
      <c r="EQ11" s="659"/>
      <c r="ER11" s="659"/>
      <c r="ES11" s="659"/>
      <c r="ET11" s="659"/>
      <c r="EU11" s="659"/>
      <c r="EV11" s="659"/>
      <c r="EW11" s="659"/>
      <c r="EX11" s="659"/>
      <c r="EY11" s="659"/>
      <c r="EZ11" s="659"/>
      <c r="FA11" s="659"/>
      <c r="FB11" s="659"/>
      <c r="FC11" s="659"/>
      <c r="FD11" s="659"/>
      <c r="FE11" s="659"/>
      <c r="FF11" s="659"/>
      <c r="FG11" s="659"/>
      <c r="FH11" s="659"/>
      <c r="FI11" s="659"/>
      <c r="FJ11" s="659"/>
      <c r="FK11" s="659"/>
      <c r="FL11" s="659"/>
      <c r="FM11" s="659"/>
      <c r="FN11" s="659"/>
      <c r="FO11" s="659"/>
      <c r="FP11" s="659"/>
      <c r="FQ11" s="659"/>
      <c r="FR11" s="659"/>
      <c r="FS11" s="659"/>
      <c r="FT11" s="659"/>
      <c r="FU11" s="659"/>
      <c r="FV11" s="659"/>
      <c r="FW11" s="659"/>
      <c r="FX11" s="659"/>
      <c r="FY11" s="659"/>
      <c r="FZ11" s="659"/>
      <c r="GA11" s="659"/>
      <c r="GB11" s="659"/>
      <c r="GC11" s="659"/>
      <c r="GD11" s="659"/>
      <c r="GE11" s="659"/>
      <c r="GF11" s="659"/>
      <c r="GG11" s="659"/>
      <c r="GH11" s="659"/>
      <c r="GI11" s="659"/>
      <c r="GJ11" s="659"/>
      <c r="GK11" s="659"/>
      <c r="GL11" s="659"/>
      <c r="GM11" s="659"/>
      <c r="GN11" s="659"/>
      <c r="GO11" s="659"/>
      <c r="GP11" s="659"/>
      <c r="GQ11" s="659"/>
      <c r="GR11" s="659"/>
      <c r="GS11" s="659"/>
      <c r="GT11" s="659"/>
      <c r="GU11" s="659"/>
      <c r="GV11" s="659"/>
      <c r="GW11" s="659"/>
      <c r="GX11" s="659"/>
      <c r="GY11" s="659"/>
      <c r="GZ11" s="659"/>
      <c r="HA11" s="659"/>
      <c r="HB11" s="659"/>
      <c r="HC11" s="659"/>
      <c r="HD11" s="659"/>
      <c r="HE11" s="659"/>
      <c r="HF11" s="659"/>
      <c r="HG11" s="659"/>
      <c r="HH11" s="659"/>
      <c r="HI11" s="659"/>
      <c r="HJ11" s="659"/>
      <c r="HK11" s="659"/>
      <c r="HL11" s="659"/>
      <c r="HM11" s="659"/>
      <c r="HN11" s="659"/>
      <c r="HO11" s="659"/>
      <c r="HP11" s="659"/>
      <c r="HQ11" s="659"/>
      <c r="HR11" s="659"/>
      <c r="HS11" s="659"/>
      <c r="HT11" s="659"/>
      <c r="HU11" s="659"/>
      <c r="HV11" s="659"/>
      <c r="HW11" s="659"/>
      <c r="HX11" s="659"/>
      <c r="HY11" s="659"/>
      <c r="HZ11" s="659"/>
      <c r="IA11" s="659"/>
      <c r="IB11" s="659"/>
      <c r="IC11" s="659"/>
      <c r="ID11" s="659"/>
      <c r="IE11" s="659"/>
      <c r="IF11" s="659"/>
      <c r="IG11" s="659"/>
      <c r="IH11" s="659"/>
      <c r="II11" s="659"/>
      <c r="IJ11" s="659"/>
      <c r="IK11" s="659"/>
      <c r="IL11" s="659"/>
      <c r="IM11" s="659"/>
      <c r="IN11" s="659"/>
      <c r="IO11" s="659"/>
      <c r="IP11" s="659"/>
      <c r="IQ11" s="659"/>
      <c r="IR11" s="659"/>
      <c r="IS11" s="659"/>
      <c r="IT11" s="659"/>
      <c r="IU11" s="659"/>
      <c r="IV11" s="659"/>
    </row>
    <row r="12" spans="1:256" ht="18.75">
      <c r="A12" s="666"/>
      <c r="B12" s="667" t="s">
        <v>161</v>
      </c>
      <c r="C12" s="668">
        <v>1</v>
      </c>
      <c r="D12" s="669">
        <f>SUM(D13:D25)</f>
        <v>1760000</v>
      </c>
      <c r="E12" s="669">
        <f>SUM(E13:E25)</f>
        <v>0</v>
      </c>
      <c r="F12" s="669">
        <f>SUM(F13:F25)</f>
        <v>80000</v>
      </c>
      <c r="G12" s="669">
        <f>SUM(G13:G25)</f>
        <v>1840000</v>
      </c>
      <c r="H12" s="669">
        <f>I12</f>
        <v>1368234.8496263947</v>
      </c>
      <c r="I12" s="669">
        <f t="shared" ref="I12:O12" si="0">SUM(I13:I25)</f>
        <v>1368234.8496263947</v>
      </c>
      <c r="J12" s="669">
        <f t="shared" si="0"/>
        <v>296999.84962639509</v>
      </c>
      <c r="K12" s="669">
        <f t="shared" si="0"/>
        <v>320000</v>
      </c>
      <c r="L12" s="669">
        <f t="shared" si="0"/>
        <v>310752</v>
      </c>
      <c r="M12" s="670">
        <f t="shared" si="0"/>
        <v>440483</v>
      </c>
      <c r="N12" s="669">
        <f t="shared" si="0"/>
        <v>0</v>
      </c>
      <c r="O12" s="669">
        <f t="shared" si="0"/>
        <v>471765.15037360491</v>
      </c>
      <c r="P12" s="671"/>
      <c r="Q12" s="651"/>
      <c r="R12" s="651">
        <v>1697000</v>
      </c>
      <c r="S12" s="672">
        <f>D13/D12</f>
        <v>9.954886363636363E-2</v>
      </c>
      <c r="T12" s="673">
        <v>768200</v>
      </c>
      <c r="U12" s="659"/>
      <c r="V12" s="659"/>
      <c r="W12" s="659"/>
      <c r="X12" s="651">
        <f>X5*0.2</f>
        <v>953400</v>
      </c>
      <c r="Y12" s="651">
        <f t="shared" ref="Y12:Y26" si="1">O12-X12</f>
        <v>-481634.84962639509</v>
      </c>
      <c r="Z12" s="677"/>
      <c r="AA12" s="659"/>
      <c r="AB12" s="659"/>
      <c r="AC12" s="659"/>
      <c r="AD12" s="659"/>
      <c r="AE12" s="659"/>
      <c r="AF12" s="659"/>
      <c r="AG12" s="659"/>
      <c r="AH12" s="659"/>
      <c r="AI12" s="659"/>
      <c r="AJ12" s="659"/>
      <c r="AK12" s="659"/>
      <c r="AL12" s="659"/>
      <c r="AM12" s="659"/>
      <c r="AN12" s="659"/>
      <c r="AO12" s="659"/>
      <c r="AP12" s="659"/>
      <c r="AQ12" s="659"/>
      <c r="AR12" s="659"/>
      <c r="AS12" s="659"/>
      <c r="AT12" s="659"/>
      <c r="AU12" s="659"/>
      <c r="AV12" s="659"/>
      <c r="AW12" s="659"/>
      <c r="AX12" s="659"/>
      <c r="AY12" s="659"/>
      <c r="AZ12" s="659"/>
      <c r="BA12" s="659"/>
      <c r="BB12" s="659"/>
      <c r="BC12" s="659"/>
      <c r="BD12" s="659"/>
      <c r="BE12" s="659"/>
      <c r="BF12" s="659"/>
      <c r="BG12" s="659"/>
      <c r="BH12" s="659"/>
      <c r="BI12" s="659"/>
      <c r="BJ12" s="659"/>
      <c r="BK12" s="659"/>
      <c r="BL12" s="659"/>
      <c r="BM12" s="659"/>
      <c r="BN12" s="659"/>
      <c r="BO12" s="659"/>
      <c r="BP12" s="659"/>
      <c r="BQ12" s="659"/>
      <c r="BR12" s="659"/>
      <c r="BS12" s="659"/>
      <c r="BT12" s="659"/>
      <c r="BU12" s="659"/>
      <c r="BV12" s="659"/>
      <c r="BW12" s="659"/>
      <c r="BX12" s="659"/>
      <c r="BY12" s="659"/>
      <c r="BZ12" s="659"/>
      <c r="CA12" s="659"/>
      <c r="CB12" s="659"/>
      <c r="CC12" s="659"/>
      <c r="CD12" s="659"/>
      <c r="CE12" s="659"/>
      <c r="CF12" s="659"/>
      <c r="CG12" s="659"/>
      <c r="CH12" s="659"/>
      <c r="CI12" s="659"/>
      <c r="CJ12" s="659"/>
      <c r="CK12" s="659"/>
      <c r="CL12" s="659"/>
      <c r="CM12" s="659"/>
      <c r="CN12" s="659"/>
      <c r="CO12" s="659"/>
      <c r="CP12" s="659"/>
      <c r="CQ12" s="659"/>
      <c r="CR12" s="659"/>
      <c r="CS12" s="659"/>
      <c r="CT12" s="659"/>
      <c r="CU12" s="659"/>
      <c r="CV12" s="659"/>
      <c r="CW12" s="659"/>
      <c r="CX12" s="659"/>
      <c r="CY12" s="659"/>
      <c r="CZ12" s="659"/>
      <c r="DA12" s="659"/>
      <c r="DB12" s="659"/>
      <c r="DC12" s="659"/>
      <c r="DD12" s="659"/>
      <c r="DE12" s="659"/>
      <c r="DF12" s="659"/>
      <c r="DG12" s="659"/>
      <c r="DH12" s="659"/>
      <c r="DI12" s="659"/>
      <c r="DJ12" s="659"/>
      <c r="DK12" s="659"/>
      <c r="DL12" s="659"/>
      <c r="DM12" s="659"/>
      <c r="DN12" s="659"/>
      <c r="DO12" s="659"/>
      <c r="DP12" s="659"/>
      <c r="DQ12" s="659"/>
      <c r="DR12" s="659"/>
      <c r="DS12" s="659"/>
      <c r="DT12" s="659"/>
      <c r="DU12" s="659"/>
      <c r="DV12" s="659"/>
      <c r="DW12" s="659"/>
      <c r="DX12" s="659"/>
      <c r="DY12" s="659"/>
      <c r="DZ12" s="659"/>
      <c r="EA12" s="659"/>
      <c r="EB12" s="659"/>
      <c r="EC12" s="659"/>
      <c r="ED12" s="659"/>
      <c r="EE12" s="659"/>
      <c r="EF12" s="659"/>
      <c r="EG12" s="659"/>
      <c r="EH12" s="659"/>
      <c r="EI12" s="659"/>
      <c r="EJ12" s="659"/>
      <c r="EK12" s="659"/>
      <c r="EL12" s="659"/>
      <c r="EM12" s="659"/>
      <c r="EN12" s="659"/>
      <c r="EO12" s="659"/>
      <c r="EP12" s="659"/>
      <c r="EQ12" s="659"/>
      <c r="ER12" s="659"/>
      <c r="ES12" s="659"/>
      <c r="ET12" s="659"/>
      <c r="EU12" s="659"/>
      <c r="EV12" s="659"/>
      <c r="EW12" s="659"/>
      <c r="EX12" s="659"/>
      <c r="EY12" s="659"/>
      <c r="EZ12" s="659"/>
      <c r="FA12" s="659"/>
      <c r="FB12" s="659"/>
      <c r="FC12" s="659"/>
      <c r="FD12" s="659"/>
      <c r="FE12" s="659"/>
      <c r="FF12" s="659"/>
      <c r="FG12" s="659"/>
      <c r="FH12" s="659"/>
      <c r="FI12" s="659"/>
      <c r="FJ12" s="659"/>
      <c r="FK12" s="659"/>
      <c r="FL12" s="659"/>
      <c r="FM12" s="659"/>
      <c r="FN12" s="659"/>
      <c r="FO12" s="659"/>
      <c r="FP12" s="659"/>
      <c r="FQ12" s="659"/>
      <c r="FR12" s="659"/>
      <c r="FS12" s="659"/>
      <c r="FT12" s="659"/>
      <c r="FU12" s="659"/>
      <c r="FV12" s="659"/>
      <c r="FW12" s="659"/>
      <c r="FX12" s="659"/>
      <c r="FY12" s="659"/>
      <c r="FZ12" s="659"/>
      <c r="GA12" s="659"/>
      <c r="GB12" s="659"/>
      <c r="GC12" s="659"/>
      <c r="GD12" s="659"/>
      <c r="GE12" s="659"/>
      <c r="GF12" s="659"/>
      <c r="GG12" s="659"/>
      <c r="GH12" s="659"/>
      <c r="GI12" s="659"/>
      <c r="GJ12" s="659"/>
      <c r="GK12" s="659"/>
      <c r="GL12" s="659"/>
      <c r="GM12" s="659"/>
      <c r="GN12" s="659"/>
      <c r="GO12" s="659"/>
      <c r="GP12" s="659"/>
      <c r="GQ12" s="659"/>
      <c r="GR12" s="659"/>
      <c r="GS12" s="659"/>
      <c r="GT12" s="659"/>
      <c r="GU12" s="659"/>
      <c r="GV12" s="659"/>
      <c r="GW12" s="659"/>
      <c r="GX12" s="659"/>
      <c r="GY12" s="659"/>
      <c r="GZ12" s="659"/>
      <c r="HA12" s="659"/>
      <c r="HB12" s="659"/>
      <c r="HC12" s="659"/>
      <c r="HD12" s="659"/>
      <c r="HE12" s="659"/>
      <c r="HF12" s="659"/>
      <c r="HG12" s="659"/>
      <c r="HH12" s="659"/>
      <c r="HI12" s="659"/>
      <c r="HJ12" s="659"/>
      <c r="HK12" s="659"/>
      <c r="HL12" s="659"/>
      <c r="HM12" s="659"/>
      <c r="HN12" s="659"/>
      <c r="HO12" s="659"/>
      <c r="HP12" s="659"/>
      <c r="HQ12" s="659"/>
      <c r="HR12" s="659"/>
      <c r="HS12" s="659"/>
      <c r="HT12" s="659"/>
      <c r="HU12" s="659"/>
      <c r="HV12" s="659"/>
      <c r="HW12" s="659"/>
      <c r="HX12" s="659"/>
      <c r="HY12" s="659"/>
      <c r="HZ12" s="659"/>
      <c r="IA12" s="659"/>
      <c r="IB12" s="659"/>
      <c r="IC12" s="659"/>
      <c r="ID12" s="659"/>
      <c r="IE12" s="659"/>
      <c r="IF12" s="659"/>
      <c r="IG12" s="659"/>
      <c r="IH12" s="659"/>
      <c r="II12" s="659"/>
      <c r="IJ12" s="659"/>
      <c r="IK12" s="659"/>
      <c r="IL12" s="659"/>
      <c r="IM12" s="659"/>
      <c r="IN12" s="659"/>
      <c r="IO12" s="659"/>
      <c r="IP12" s="659"/>
      <c r="IQ12" s="659"/>
      <c r="IR12" s="659"/>
      <c r="IS12" s="659"/>
      <c r="IT12" s="659"/>
      <c r="IU12" s="659"/>
      <c r="IV12" s="659"/>
    </row>
    <row r="13" spans="1:256" ht="18.75">
      <c r="A13" s="674">
        <v>1</v>
      </c>
      <c r="B13" s="675" t="s">
        <v>217</v>
      </c>
      <c r="C13" s="676">
        <f>D13/$D$12</f>
        <v>9.954886363636363E-2</v>
      </c>
      <c r="D13" s="677">
        <f>253850-78644</f>
        <v>175206</v>
      </c>
      <c r="E13" s="677"/>
      <c r="F13" s="677">
        <f>C13*80000</f>
        <v>7963.9090909090901</v>
      </c>
      <c r="G13" s="677">
        <f>D13+E13+F13</f>
        <v>183169.90909090909</v>
      </c>
      <c r="H13" s="677">
        <f>I13</f>
        <v>136206</v>
      </c>
      <c r="I13" s="677">
        <f t="shared" ref="I13:I25" si="2">SUM(J13:N13)</f>
        <v>136206</v>
      </c>
      <c r="J13" s="677">
        <v>29566</v>
      </c>
      <c r="K13" s="677">
        <v>31856</v>
      </c>
      <c r="L13" s="677">
        <v>30935</v>
      </c>
      <c r="M13" s="678">
        <v>43849</v>
      </c>
      <c r="N13" s="677"/>
      <c r="O13" s="677">
        <f>G13-I13</f>
        <v>46963.909090909088</v>
      </c>
      <c r="P13" s="679"/>
      <c r="Q13" s="680" t="e">
        <f>R13-#REF!</f>
        <v>#REF!</v>
      </c>
      <c r="R13" s="681">
        <f t="shared" ref="R13:R25" si="3">$R$12*C13</f>
        <v>168934.42159090907</v>
      </c>
      <c r="S13" s="681">
        <f t="shared" ref="S13:S25" si="4">D13-R13</f>
        <v>6271.5784090909292</v>
      </c>
      <c r="T13" s="682">
        <f>C13*$T$12</f>
        <v>76473.437045454542</v>
      </c>
      <c r="U13" s="683"/>
      <c r="V13" s="684"/>
      <c r="W13" s="683"/>
      <c r="X13" s="680">
        <f>C13*$X$12</f>
        <v>94909.886590909082</v>
      </c>
      <c r="Y13" s="680">
        <f t="shared" si="1"/>
        <v>-47945.977499999994</v>
      </c>
      <c r="Z13" s="677">
        <f>C13*$Z$11</f>
        <v>288592.15568181814</v>
      </c>
      <c r="AA13" s="700">
        <f>Z13/G13</f>
        <v>1.5755434782608693</v>
      </c>
      <c r="AB13" s="700">
        <f>Z13-G13</f>
        <v>105422.24659090905</v>
      </c>
      <c r="AC13" s="684"/>
      <c r="AD13" s="683"/>
      <c r="AE13" s="683"/>
      <c r="AF13" s="683"/>
      <c r="AG13" s="683"/>
      <c r="AH13" s="683"/>
      <c r="AI13" s="683"/>
      <c r="AJ13" s="683"/>
      <c r="AK13" s="683"/>
      <c r="AL13" s="683"/>
      <c r="AM13" s="683"/>
      <c r="AN13" s="683"/>
      <c r="AO13" s="683"/>
      <c r="AP13" s="683"/>
      <c r="AQ13" s="683"/>
      <c r="AR13" s="683"/>
      <c r="AS13" s="683"/>
      <c r="AT13" s="683"/>
      <c r="AU13" s="683"/>
      <c r="AV13" s="683"/>
      <c r="AW13" s="683"/>
      <c r="AX13" s="683"/>
      <c r="AY13" s="683"/>
      <c r="AZ13" s="683"/>
      <c r="BA13" s="683"/>
      <c r="BB13" s="683"/>
      <c r="BC13" s="683"/>
      <c r="BD13" s="683"/>
      <c r="BE13" s="683"/>
      <c r="BF13" s="683"/>
      <c r="BG13" s="683"/>
      <c r="BH13" s="683"/>
      <c r="BI13" s="683"/>
      <c r="BJ13" s="683"/>
      <c r="BK13" s="683"/>
      <c r="BL13" s="683"/>
      <c r="BM13" s="683"/>
      <c r="BN13" s="683"/>
      <c r="BO13" s="683"/>
      <c r="BP13" s="683"/>
      <c r="BQ13" s="683"/>
      <c r="BR13" s="683"/>
      <c r="BS13" s="683"/>
      <c r="BT13" s="683"/>
      <c r="BU13" s="683"/>
      <c r="BV13" s="683"/>
      <c r="BW13" s="683"/>
      <c r="BX13" s="683"/>
      <c r="BY13" s="683"/>
      <c r="BZ13" s="683"/>
      <c r="CA13" s="683"/>
      <c r="CB13" s="683"/>
      <c r="CC13" s="683"/>
      <c r="CD13" s="683"/>
      <c r="CE13" s="683"/>
      <c r="CF13" s="683"/>
      <c r="CG13" s="683"/>
      <c r="CH13" s="683"/>
      <c r="CI13" s="683"/>
      <c r="CJ13" s="683"/>
      <c r="CK13" s="683"/>
      <c r="CL13" s="683"/>
      <c r="CM13" s="683"/>
      <c r="CN13" s="683"/>
      <c r="CO13" s="683"/>
      <c r="CP13" s="683"/>
      <c r="CQ13" s="683"/>
      <c r="CR13" s="683"/>
      <c r="CS13" s="683"/>
      <c r="CT13" s="683"/>
      <c r="CU13" s="683"/>
      <c r="CV13" s="683"/>
      <c r="CW13" s="683"/>
      <c r="CX13" s="683"/>
      <c r="CY13" s="683"/>
      <c r="CZ13" s="683"/>
      <c r="DA13" s="683"/>
      <c r="DB13" s="683"/>
      <c r="DC13" s="683"/>
      <c r="DD13" s="683"/>
      <c r="DE13" s="683"/>
      <c r="DF13" s="683"/>
      <c r="DG13" s="683"/>
      <c r="DH13" s="683"/>
      <c r="DI13" s="683"/>
      <c r="DJ13" s="683"/>
      <c r="DK13" s="683"/>
      <c r="DL13" s="683"/>
      <c r="DM13" s="683"/>
      <c r="DN13" s="683"/>
      <c r="DO13" s="683"/>
      <c r="DP13" s="683"/>
      <c r="DQ13" s="683"/>
      <c r="DR13" s="683"/>
      <c r="DS13" s="683"/>
      <c r="DT13" s="683"/>
      <c r="DU13" s="683"/>
      <c r="DV13" s="683"/>
      <c r="DW13" s="683"/>
      <c r="DX13" s="683"/>
      <c r="DY13" s="683"/>
      <c r="DZ13" s="683"/>
      <c r="EA13" s="683"/>
      <c r="EB13" s="683"/>
      <c r="EC13" s="683"/>
      <c r="ED13" s="683"/>
      <c r="EE13" s="683"/>
      <c r="EF13" s="683"/>
      <c r="EG13" s="683"/>
      <c r="EH13" s="683"/>
      <c r="EI13" s="683"/>
      <c r="EJ13" s="683"/>
      <c r="EK13" s="683"/>
      <c r="EL13" s="683"/>
      <c r="EM13" s="683"/>
      <c r="EN13" s="683"/>
      <c r="EO13" s="683"/>
      <c r="EP13" s="683"/>
      <c r="EQ13" s="683"/>
      <c r="ER13" s="683"/>
      <c r="ES13" s="683"/>
      <c r="ET13" s="683"/>
      <c r="EU13" s="683"/>
      <c r="EV13" s="683"/>
      <c r="EW13" s="683"/>
      <c r="EX13" s="683"/>
      <c r="EY13" s="683"/>
      <c r="EZ13" s="683"/>
      <c r="FA13" s="683"/>
      <c r="FB13" s="683"/>
      <c r="FC13" s="683"/>
      <c r="FD13" s="683"/>
      <c r="FE13" s="683"/>
      <c r="FF13" s="683"/>
      <c r="FG13" s="683"/>
      <c r="FH13" s="683"/>
      <c r="FI13" s="683"/>
      <c r="FJ13" s="683"/>
      <c r="FK13" s="683"/>
      <c r="FL13" s="683"/>
      <c r="FM13" s="683"/>
      <c r="FN13" s="683"/>
      <c r="FO13" s="683"/>
      <c r="FP13" s="683"/>
      <c r="FQ13" s="683"/>
      <c r="FR13" s="683"/>
      <c r="FS13" s="683"/>
      <c r="FT13" s="683"/>
      <c r="FU13" s="683"/>
      <c r="FV13" s="683"/>
      <c r="FW13" s="683"/>
      <c r="FX13" s="683"/>
      <c r="FY13" s="683"/>
      <c r="FZ13" s="683"/>
      <c r="GA13" s="683"/>
      <c r="GB13" s="683"/>
      <c r="GC13" s="683"/>
      <c r="GD13" s="683"/>
      <c r="GE13" s="683"/>
      <c r="GF13" s="683"/>
      <c r="GG13" s="683"/>
      <c r="GH13" s="683"/>
      <c r="GI13" s="683"/>
      <c r="GJ13" s="683"/>
      <c r="GK13" s="683"/>
      <c r="GL13" s="683"/>
      <c r="GM13" s="683"/>
      <c r="GN13" s="683"/>
      <c r="GO13" s="683"/>
      <c r="GP13" s="683"/>
      <c r="GQ13" s="683"/>
      <c r="GR13" s="683"/>
      <c r="GS13" s="683"/>
      <c r="GT13" s="683"/>
      <c r="GU13" s="683"/>
      <c r="GV13" s="683"/>
      <c r="GW13" s="683"/>
      <c r="GX13" s="683"/>
      <c r="GY13" s="683"/>
      <c r="GZ13" s="683"/>
      <c r="HA13" s="683"/>
      <c r="HB13" s="683"/>
      <c r="HC13" s="683"/>
      <c r="HD13" s="683"/>
      <c r="HE13" s="683"/>
      <c r="HF13" s="683"/>
      <c r="HG13" s="683"/>
      <c r="HH13" s="683"/>
      <c r="HI13" s="683"/>
      <c r="HJ13" s="683"/>
      <c r="HK13" s="683"/>
      <c r="HL13" s="683"/>
      <c r="HM13" s="683"/>
      <c r="HN13" s="683"/>
      <c r="HO13" s="683"/>
      <c r="HP13" s="683"/>
      <c r="HQ13" s="683"/>
      <c r="HR13" s="683"/>
      <c r="HS13" s="683"/>
      <c r="HT13" s="683"/>
      <c r="HU13" s="683"/>
      <c r="HV13" s="683"/>
      <c r="HW13" s="683"/>
      <c r="HX13" s="683"/>
      <c r="HY13" s="683"/>
      <c r="HZ13" s="683"/>
      <c r="IA13" s="683"/>
      <c r="IB13" s="683"/>
      <c r="IC13" s="683"/>
      <c r="ID13" s="683"/>
      <c r="IE13" s="683"/>
      <c r="IF13" s="683"/>
      <c r="IG13" s="683"/>
      <c r="IH13" s="683"/>
      <c r="II13" s="683"/>
      <c r="IJ13" s="683"/>
      <c r="IK13" s="683"/>
      <c r="IL13" s="683"/>
      <c r="IM13" s="683"/>
      <c r="IN13" s="683"/>
      <c r="IO13" s="683"/>
      <c r="IP13" s="683"/>
      <c r="IQ13" s="683"/>
      <c r="IR13" s="683"/>
      <c r="IS13" s="683"/>
      <c r="IT13" s="683"/>
      <c r="IU13" s="683"/>
      <c r="IV13" s="683"/>
    </row>
    <row r="14" spans="1:256" ht="18.75">
      <c r="A14" s="674">
        <v>2</v>
      </c>
      <c r="B14" s="675" t="s">
        <v>963</v>
      </c>
      <c r="C14" s="676">
        <f t="shared" ref="C14:C25" si="5">D14/$D$12</f>
        <v>6.4006250000000001E-2</v>
      </c>
      <c r="D14" s="677">
        <f>163217-50566</f>
        <v>112651</v>
      </c>
      <c r="E14" s="677"/>
      <c r="F14" s="677">
        <f t="shared" ref="F14:F25" si="6">C14*80000</f>
        <v>5120.5</v>
      </c>
      <c r="G14" s="677">
        <f t="shared" ref="G14:G25" si="7">D14+E14+F14</f>
        <v>117771.5</v>
      </c>
      <c r="H14" s="677">
        <f>I14</f>
        <v>87575.561180554301</v>
      </c>
      <c r="I14" s="677">
        <f t="shared" si="2"/>
        <v>87575.561180554301</v>
      </c>
      <c r="J14" s="677">
        <v>19009.561180554301</v>
      </c>
      <c r="K14" s="677">
        <v>20482</v>
      </c>
      <c r="L14" s="677">
        <v>19890</v>
      </c>
      <c r="M14" s="678">
        <v>28194</v>
      </c>
      <c r="N14" s="677"/>
      <c r="O14" s="677">
        <f t="shared" ref="O14:O25" si="8">G14-I14</f>
        <v>30195.938819445699</v>
      </c>
      <c r="P14" s="679"/>
      <c r="Q14" s="680" t="e">
        <f>R14-#REF!</f>
        <v>#REF!</v>
      </c>
      <c r="R14" s="681">
        <f t="shared" si="3"/>
        <v>108618.60625</v>
      </c>
      <c r="S14" s="681">
        <f t="shared" si="4"/>
        <v>4032.3937500000029</v>
      </c>
      <c r="T14" s="682">
        <f t="shared" ref="T14:T25" si="9">C14*$T$12</f>
        <v>49169.60125</v>
      </c>
      <c r="U14" s="683"/>
      <c r="V14" s="683"/>
      <c r="W14" s="683"/>
      <c r="X14" s="680">
        <f t="shared" ref="X14:X26" si="10">C14*$X$12</f>
        <v>61023.558750000004</v>
      </c>
      <c r="Y14" s="680">
        <f t="shared" si="1"/>
        <v>-30827.619930554305</v>
      </c>
      <c r="Z14" s="677">
        <f t="shared" ref="Z14:Z26" si="11">C14*$Z$11</f>
        <v>185554.11874999999</v>
      </c>
      <c r="AA14" s="700">
        <f t="shared" ref="AA14:AA25" si="12">Z14/G14</f>
        <v>1.5755434782608695</v>
      </c>
      <c r="AB14" s="700">
        <f t="shared" ref="AB14:AB25" si="13">Z14-G14</f>
        <v>67782.618749999994</v>
      </c>
      <c r="AC14" s="683"/>
      <c r="AD14" s="683"/>
      <c r="AE14" s="683"/>
      <c r="AF14" s="683"/>
      <c r="AG14" s="683"/>
      <c r="AH14" s="683"/>
      <c r="AI14" s="683"/>
      <c r="AJ14" s="683"/>
      <c r="AK14" s="683"/>
      <c r="AL14" s="683"/>
      <c r="AM14" s="683"/>
      <c r="AN14" s="683"/>
      <c r="AO14" s="683"/>
      <c r="AP14" s="683"/>
      <c r="AQ14" s="683"/>
      <c r="AR14" s="683"/>
      <c r="AS14" s="683"/>
      <c r="AT14" s="683"/>
      <c r="AU14" s="683"/>
      <c r="AV14" s="683"/>
      <c r="AW14" s="683"/>
      <c r="AX14" s="683"/>
      <c r="AY14" s="683"/>
      <c r="AZ14" s="683"/>
      <c r="BA14" s="683"/>
      <c r="BB14" s="683"/>
      <c r="BC14" s="683"/>
      <c r="BD14" s="683"/>
      <c r="BE14" s="683"/>
      <c r="BF14" s="683"/>
      <c r="BG14" s="683"/>
      <c r="BH14" s="683"/>
      <c r="BI14" s="683"/>
      <c r="BJ14" s="683"/>
      <c r="BK14" s="683"/>
      <c r="BL14" s="683"/>
      <c r="BM14" s="683"/>
      <c r="BN14" s="683"/>
      <c r="BO14" s="683"/>
      <c r="BP14" s="683"/>
      <c r="BQ14" s="683"/>
      <c r="BR14" s="683"/>
      <c r="BS14" s="683"/>
      <c r="BT14" s="683"/>
      <c r="BU14" s="683"/>
      <c r="BV14" s="683"/>
      <c r="BW14" s="683"/>
      <c r="BX14" s="683"/>
      <c r="BY14" s="683"/>
      <c r="BZ14" s="683"/>
      <c r="CA14" s="683"/>
      <c r="CB14" s="683"/>
      <c r="CC14" s="683"/>
      <c r="CD14" s="683"/>
      <c r="CE14" s="683"/>
      <c r="CF14" s="683"/>
      <c r="CG14" s="683"/>
      <c r="CH14" s="683"/>
      <c r="CI14" s="683"/>
      <c r="CJ14" s="683"/>
      <c r="CK14" s="683"/>
      <c r="CL14" s="683"/>
      <c r="CM14" s="683"/>
      <c r="CN14" s="683"/>
      <c r="CO14" s="683"/>
      <c r="CP14" s="683"/>
      <c r="CQ14" s="683"/>
      <c r="CR14" s="683"/>
      <c r="CS14" s="683"/>
      <c r="CT14" s="683"/>
      <c r="CU14" s="683"/>
      <c r="CV14" s="683"/>
      <c r="CW14" s="683"/>
      <c r="CX14" s="683"/>
      <c r="CY14" s="683"/>
      <c r="CZ14" s="683"/>
      <c r="DA14" s="683"/>
      <c r="DB14" s="683"/>
      <c r="DC14" s="683"/>
      <c r="DD14" s="683"/>
      <c r="DE14" s="683"/>
      <c r="DF14" s="683"/>
      <c r="DG14" s="683"/>
      <c r="DH14" s="683"/>
      <c r="DI14" s="683"/>
      <c r="DJ14" s="683"/>
      <c r="DK14" s="683"/>
      <c r="DL14" s="683"/>
      <c r="DM14" s="683"/>
      <c r="DN14" s="683"/>
      <c r="DO14" s="683"/>
      <c r="DP14" s="683"/>
      <c r="DQ14" s="683"/>
      <c r="DR14" s="683"/>
      <c r="DS14" s="683"/>
      <c r="DT14" s="683"/>
      <c r="DU14" s="683"/>
      <c r="DV14" s="683"/>
      <c r="DW14" s="683"/>
      <c r="DX14" s="683"/>
      <c r="DY14" s="683"/>
      <c r="DZ14" s="683"/>
      <c r="EA14" s="683"/>
      <c r="EB14" s="683"/>
      <c r="EC14" s="683"/>
      <c r="ED14" s="683"/>
      <c r="EE14" s="683"/>
      <c r="EF14" s="683"/>
      <c r="EG14" s="683"/>
      <c r="EH14" s="683"/>
      <c r="EI14" s="683"/>
      <c r="EJ14" s="683"/>
      <c r="EK14" s="683"/>
      <c r="EL14" s="683"/>
      <c r="EM14" s="683"/>
      <c r="EN14" s="683"/>
      <c r="EO14" s="683"/>
      <c r="EP14" s="683"/>
      <c r="EQ14" s="683"/>
      <c r="ER14" s="683"/>
      <c r="ES14" s="683"/>
      <c r="ET14" s="683"/>
      <c r="EU14" s="683"/>
      <c r="EV14" s="683"/>
      <c r="EW14" s="683"/>
      <c r="EX14" s="683"/>
      <c r="EY14" s="683"/>
      <c r="EZ14" s="683"/>
      <c r="FA14" s="683"/>
      <c r="FB14" s="683"/>
      <c r="FC14" s="683"/>
      <c r="FD14" s="683"/>
      <c r="FE14" s="683"/>
      <c r="FF14" s="683"/>
      <c r="FG14" s="683"/>
      <c r="FH14" s="683"/>
      <c r="FI14" s="683"/>
      <c r="FJ14" s="683"/>
      <c r="FK14" s="683"/>
      <c r="FL14" s="683"/>
      <c r="FM14" s="683"/>
      <c r="FN14" s="683"/>
      <c r="FO14" s="683"/>
      <c r="FP14" s="683"/>
      <c r="FQ14" s="683"/>
      <c r="FR14" s="683"/>
      <c r="FS14" s="683"/>
      <c r="FT14" s="683"/>
      <c r="FU14" s="683"/>
      <c r="FV14" s="683"/>
      <c r="FW14" s="683"/>
      <c r="FX14" s="683"/>
      <c r="FY14" s="683"/>
      <c r="FZ14" s="683"/>
      <c r="GA14" s="683"/>
      <c r="GB14" s="683"/>
      <c r="GC14" s="683"/>
      <c r="GD14" s="683"/>
      <c r="GE14" s="683"/>
      <c r="GF14" s="683"/>
      <c r="GG14" s="683"/>
      <c r="GH14" s="683"/>
      <c r="GI14" s="683"/>
      <c r="GJ14" s="683"/>
      <c r="GK14" s="683"/>
      <c r="GL14" s="683"/>
      <c r="GM14" s="683"/>
      <c r="GN14" s="683"/>
      <c r="GO14" s="683"/>
      <c r="GP14" s="683"/>
      <c r="GQ14" s="683"/>
      <c r="GR14" s="683"/>
      <c r="GS14" s="683"/>
      <c r="GT14" s="683"/>
      <c r="GU14" s="683"/>
      <c r="GV14" s="683"/>
      <c r="GW14" s="683"/>
      <c r="GX14" s="683"/>
      <c r="GY14" s="683"/>
      <c r="GZ14" s="683"/>
      <c r="HA14" s="683"/>
      <c r="HB14" s="683"/>
      <c r="HC14" s="683"/>
      <c r="HD14" s="683"/>
      <c r="HE14" s="683"/>
      <c r="HF14" s="683"/>
      <c r="HG14" s="683"/>
      <c r="HH14" s="683"/>
      <c r="HI14" s="683"/>
      <c r="HJ14" s="683"/>
      <c r="HK14" s="683"/>
      <c r="HL14" s="683"/>
      <c r="HM14" s="683"/>
      <c r="HN14" s="683"/>
      <c r="HO14" s="683"/>
      <c r="HP14" s="683"/>
      <c r="HQ14" s="683"/>
      <c r="HR14" s="683"/>
      <c r="HS14" s="683"/>
      <c r="HT14" s="683"/>
      <c r="HU14" s="683"/>
      <c r="HV14" s="683"/>
      <c r="HW14" s="683"/>
      <c r="HX14" s="683"/>
      <c r="HY14" s="683"/>
      <c r="HZ14" s="683"/>
      <c r="IA14" s="683"/>
      <c r="IB14" s="683"/>
      <c r="IC14" s="683"/>
      <c r="ID14" s="683"/>
      <c r="IE14" s="683"/>
      <c r="IF14" s="683"/>
      <c r="IG14" s="683"/>
      <c r="IH14" s="683"/>
      <c r="II14" s="683"/>
      <c r="IJ14" s="683"/>
      <c r="IK14" s="683"/>
      <c r="IL14" s="683"/>
      <c r="IM14" s="683"/>
      <c r="IN14" s="683"/>
      <c r="IO14" s="683"/>
      <c r="IP14" s="683"/>
      <c r="IQ14" s="683"/>
      <c r="IR14" s="683"/>
      <c r="IS14" s="683"/>
      <c r="IT14" s="683"/>
      <c r="IU14" s="683"/>
      <c r="IV14" s="683"/>
    </row>
    <row r="15" spans="1:256" ht="18.75">
      <c r="A15" s="674">
        <v>3</v>
      </c>
      <c r="B15" s="675" t="s">
        <v>304</v>
      </c>
      <c r="C15" s="676">
        <f t="shared" si="5"/>
        <v>0.19667045454545454</v>
      </c>
      <c r="D15" s="677">
        <f>501509-155369</f>
        <v>346140</v>
      </c>
      <c r="E15" s="677"/>
      <c r="F15" s="677">
        <f t="shared" si="6"/>
        <v>15733.636363636362</v>
      </c>
      <c r="G15" s="677">
        <f t="shared" si="7"/>
        <v>361873.63636363635</v>
      </c>
      <c r="H15" s="677">
        <f t="shared" ref="H15:H25" si="14">I15</f>
        <v>269092.20798163401</v>
      </c>
      <c r="I15" s="677">
        <f t="shared" si="2"/>
        <v>269092.20798163401</v>
      </c>
      <c r="J15" s="677">
        <v>58411.207981633997</v>
      </c>
      <c r="K15" s="677">
        <v>62935</v>
      </c>
      <c r="L15" s="677">
        <v>61116</v>
      </c>
      <c r="M15" s="678">
        <v>86630</v>
      </c>
      <c r="N15" s="677"/>
      <c r="O15" s="677">
        <f t="shared" si="8"/>
        <v>92781.428382002341</v>
      </c>
      <c r="P15" s="679"/>
      <c r="Q15" s="680" t="e">
        <f>R15-#REF!</f>
        <v>#REF!</v>
      </c>
      <c r="R15" s="681">
        <f t="shared" si="3"/>
        <v>333749.76136363635</v>
      </c>
      <c r="S15" s="681">
        <f t="shared" si="4"/>
        <v>12390.238636363647</v>
      </c>
      <c r="T15" s="682">
        <f t="shared" si="9"/>
        <v>151082.24318181816</v>
      </c>
      <c r="U15" s="683"/>
      <c r="V15" s="683"/>
      <c r="W15" s="683"/>
      <c r="X15" s="680">
        <f t="shared" si="10"/>
        <v>187505.61136363636</v>
      </c>
      <c r="Y15" s="680">
        <f t="shared" si="1"/>
        <v>-94724.182981634018</v>
      </c>
      <c r="Z15" s="677">
        <f t="shared" si="11"/>
        <v>570147.64772727271</v>
      </c>
      <c r="AA15" s="700">
        <f t="shared" si="12"/>
        <v>1.5755434782608695</v>
      </c>
      <c r="AB15" s="700">
        <f t="shared" si="13"/>
        <v>208274.01136363635</v>
      </c>
      <c r="AC15" s="683"/>
      <c r="AD15" s="683"/>
      <c r="AE15" s="683"/>
      <c r="AF15" s="683"/>
      <c r="AG15" s="683"/>
      <c r="AH15" s="683"/>
      <c r="AI15" s="683"/>
      <c r="AJ15" s="683"/>
      <c r="AK15" s="683"/>
      <c r="AL15" s="683"/>
      <c r="AM15" s="683"/>
      <c r="AN15" s="683"/>
      <c r="AO15" s="683"/>
      <c r="AP15" s="683"/>
      <c r="AQ15" s="683"/>
      <c r="AR15" s="683"/>
      <c r="AS15" s="683"/>
      <c r="AT15" s="683"/>
      <c r="AU15" s="683"/>
      <c r="AV15" s="683"/>
      <c r="AW15" s="683"/>
      <c r="AX15" s="683"/>
      <c r="AY15" s="683"/>
      <c r="AZ15" s="683"/>
      <c r="BA15" s="683"/>
      <c r="BB15" s="683"/>
      <c r="BC15" s="683"/>
      <c r="BD15" s="683"/>
      <c r="BE15" s="683"/>
      <c r="BF15" s="683"/>
      <c r="BG15" s="683"/>
      <c r="BH15" s="683"/>
      <c r="BI15" s="683"/>
      <c r="BJ15" s="683"/>
      <c r="BK15" s="683"/>
      <c r="BL15" s="683"/>
      <c r="BM15" s="683"/>
      <c r="BN15" s="683"/>
      <c r="BO15" s="683"/>
      <c r="BP15" s="683"/>
      <c r="BQ15" s="683"/>
      <c r="BR15" s="683"/>
      <c r="BS15" s="683"/>
      <c r="BT15" s="683"/>
      <c r="BU15" s="683"/>
      <c r="BV15" s="683"/>
      <c r="BW15" s="683"/>
      <c r="BX15" s="683"/>
      <c r="BY15" s="683"/>
      <c r="BZ15" s="683"/>
      <c r="CA15" s="683"/>
      <c r="CB15" s="683"/>
      <c r="CC15" s="683"/>
      <c r="CD15" s="683"/>
      <c r="CE15" s="683"/>
      <c r="CF15" s="683"/>
      <c r="CG15" s="683"/>
      <c r="CH15" s="683"/>
      <c r="CI15" s="683"/>
      <c r="CJ15" s="683"/>
      <c r="CK15" s="683"/>
      <c r="CL15" s="683"/>
      <c r="CM15" s="683"/>
      <c r="CN15" s="683"/>
      <c r="CO15" s="683"/>
      <c r="CP15" s="683"/>
      <c r="CQ15" s="683"/>
      <c r="CR15" s="683"/>
      <c r="CS15" s="683"/>
      <c r="CT15" s="683"/>
      <c r="CU15" s="683"/>
      <c r="CV15" s="683"/>
      <c r="CW15" s="683"/>
      <c r="CX15" s="683"/>
      <c r="CY15" s="683"/>
      <c r="CZ15" s="683"/>
      <c r="DA15" s="683"/>
      <c r="DB15" s="683"/>
      <c r="DC15" s="683"/>
      <c r="DD15" s="683"/>
      <c r="DE15" s="683"/>
      <c r="DF15" s="683"/>
      <c r="DG15" s="683"/>
      <c r="DH15" s="683"/>
      <c r="DI15" s="683"/>
      <c r="DJ15" s="683"/>
      <c r="DK15" s="683"/>
      <c r="DL15" s="683"/>
      <c r="DM15" s="683"/>
      <c r="DN15" s="683"/>
      <c r="DO15" s="683"/>
      <c r="DP15" s="683"/>
      <c r="DQ15" s="683"/>
      <c r="DR15" s="683"/>
      <c r="DS15" s="683"/>
      <c r="DT15" s="683"/>
      <c r="DU15" s="683"/>
      <c r="DV15" s="683"/>
      <c r="DW15" s="683"/>
      <c r="DX15" s="683"/>
      <c r="DY15" s="683"/>
      <c r="DZ15" s="683"/>
      <c r="EA15" s="683"/>
      <c r="EB15" s="683"/>
      <c r="EC15" s="683"/>
      <c r="ED15" s="683"/>
      <c r="EE15" s="683"/>
      <c r="EF15" s="683"/>
      <c r="EG15" s="683"/>
      <c r="EH15" s="683"/>
      <c r="EI15" s="683"/>
      <c r="EJ15" s="683"/>
      <c r="EK15" s="683"/>
      <c r="EL15" s="683"/>
      <c r="EM15" s="683"/>
      <c r="EN15" s="683"/>
      <c r="EO15" s="683"/>
      <c r="EP15" s="683"/>
      <c r="EQ15" s="683"/>
      <c r="ER15" s="683"/>
      <c r="ES15" s="683"/>
      <c r="ET15" s="683"/>
      <c r="EU15" s="683"/>
      <c r="EV15" s="683"/>
      <c r="EW15" s="683"/>
      <c r="EX15" s="683"/>
      <c r="EY15" s="683"/>
      <c r="EZ15" s="683"/>
      <c r="FA15" s="683"/>
      <c r="FB15" s="683"/>
      <c r="FC15" s="683"/>
      <c r="FD15" s="683"/>
      <c r="FE15" s="683"/>
      <c r="FF15" s="683"/>
      <c r="FG15" s="683"/>
      <c r="FH15" s="683"/>
      <c r="FI15" s="683"/>
      <c r="FJ15" s="683"/>
      <c r="FK15" s="683"/>
      <c r="FL15" s="683"/>
      <c r="FM15" s="683"/>
      <c r="FN15" s="683"/>
      <c r="FO15" s="683"/>
      <c r="FP15" s="683"/>
      <c r="FQ15" s="683"/>
      <c r="FR15" s="683"/>
      <c r="FS15" s="683"/>
      <c r="FT15" s="683"/>
      <c r="FU15" s="683"/>
      <c r="FV15" s="683"/>
      <c r="FW15" s="683"/>
      <c r="FX15" s="683"/>
      <c r="FY15" s="683"/>
      <c r="FZ15" s="683"/>
      <c r="GA15" s="683"/>
      <c r="GB15" s="683"/>
      <c r="GC15" s="683"/>
      <c r="GD15" s="683"/>
      <c r="GE15" s="683"/>
      <c r="GF15" s="683"/>
      <c r="GG15" s="683"/>
      <c r="GH15" s="683"/>
      <c r="GI15" s="683"/>
      <c r="GJ15" s="683"/>
      <c r="GK15" s="683"/>
      <c r="GL15" s="683"/>
      <c r="GM15" s="683"/>
      <c r="GN15" s="683"/>
      <c r="GO15" s="683"/>
      <c r="GP15" s="683"/>
      <c r="GQ15" s="683"/>
      <c r="GR15" s="683"/>
      <c r="GS15" s="683"/>
      <c r="GT15" s="683"/>
      <c r="GU15" s="683"/>
      <c r="GV15" s="683"/>
      <c r="GW15" s="683"/>
      <c r="GX15" s="683"/>
      <c r="GY15" s="683"/>
      <c r="GZ15" s="683"/>
      <c r="HA15" s="683"/>
      <c r="HB15" s="683"/>
      <c r="HC15" s="683"/>
      <c r="HD15" s="683"/>
      <c r="HE15" s="683"/>
      <c r="HF15" s="683"/>
      <c r="HG15" s="683"/>
      <c r="HH15" s="683"/>
      <c r="HI15" s="683"/>
      <c r="HJ15" s="683"/>
      <c r="HK15" s="683"/>
      <c r="HL15" s="683"/>
      <c r="HM15" s="683"/>
      <c r="HN15" s="683"/>
      <c r="HO15" s="683"/>
      <c r="HP15" s="683"/>
      <c r="HQ15" s="683"/>
      <c r="HR15" s="683"/>
      <c r="HS15" s="683"/>
      <c r="HT15" s="683"/>
      <c r="HU15" s="683"/>
      <c r="HV15" s="683"/>
      <c r="HW15" s="683"/>
      <c r="HX15" s="683"/>
      <c r="HY15" s="683"/>
      <c r="HZ15" s="683"/>
      <c r="IA15" s="683"/>
      <c r="IB15" s="683"/>
      <c r="IC15" s="683"/>
      <c r="ID15" s="683"/>
      <c r="IE15" s="683"/>
      <c r="IF15" s="683"/>
      <c r="IG15" s="683"/>
      <c r="IH15" s="683"/>
      <c r="II15" s="683"/>
      <c r="IJ15" s="683"/>
      <c r="IK15" s="683"/>
      <c r="IL15" s="683"/>
      <c r="IM15" s="683"/>
      <c r="IN15" s="683"/>
      <c r="IO15" s="683"/>
      <c r="IP15" s="683"/>
      <c r="IQ15" s="683"/>
      <c r="IR15" s="683"/>
      <c r="IS15" s="683"/>
      <c r="IT15" s="683"/>
      <c r="IU15" s="683"/>
      <c r="IV15" s="683"/>
    </row>
    <row r="16" spans="1:256" ht="18.75">
      <c r="A16" s="674">
        <v>4</v>
      </c>
      <c r="B16" s="675" t="s">
        <v>231</v>
      </c>
      <c r="C16" s="676">
        <f t="shared" si="5"/>
        <v>7.8402272727272723E-2</v>
      </c>
      <c r="D16" s="677">
        <f>199925-61937</f>
        <v>137988</v>
      </c>
      <c r="E16" s="677"/>
      <c r="F16" s="677">
        <f t="shared" si="6"/>
        <v>6272.181818181818</v>
      </c>
      <c r="G16" s="677">
        <f t="shared" si="7"/>
        <v>144260.18181818182</v>
      </c>
      <c r="H16" s="677">
        <f t="shared" si="14"/>
        <v>107273.45159007737</v>
      </c>
      <c r="I16" s="677">
        <f t="shared" si="2"/>
        <v>107273.45159007737</v>
      </c>
      <c r="J16" s="677">
        <v>23285.451590077362</v>
      </c>
      <c r="K16" s="677">
        <v>25089</v>
      </c>
      <c r="L16" s="677">
        <v>24364</v>
      </c>
      <c r="M16" s="678">
        <v>34535</v>
      </c>
      <c r="N16" s="677"/>
      <c r="O16" s="677">
        <f t="shared" si="8"/>
        <v>36986.730228104454</v>
      </c>
      <c r="P16" s="679"/>
      <c r="Q16" s="680" t="e">
        <f>R16-#REF!</f>
        <v>#REF!</v>
      </c>
      <c r="R16" s="681">
        <f t="shared" si="3"/>
        <v>133048.6568181818</v>
      </c>
      <c r="S16" s="681">
        <f t="shared" si="4"/>
        <v>4939.3431818181998</v>
      </c>
      <c r="T16" s="682">
        <f t="shared" si="9"/>
        <v>60228.625909090908</v>
      </c>
      <c r="U16" s="683"/>
      <c r="V16" s="683"/>
      <c r="W16" s="683"/>
      <c r="X16" s="680">
        <f t="shared" si="10"/>
        <v>74748.726818181807</v>
      </c>
      <c r="Y16" s="680">
        <f t="shared" si="1"/>
        <v>-37761.996590077353</v>
      </c>
      <c r="Z16" s="677">
        <f t="shared" si="11"/>
        <v>227288.18863636363</v>
      </c>
      <c r="AA16" s="700">
        <f t="shared" si="12"/>
        <v>1.5755434782608695</v>
      </c>
      <c r="AB16" s="700">
        <f t="shared" si="13"/>
        <v>83028.006818181806</v>
      </c>
      <c r="AC16" s="683"/>
      <c r="AD16" s="683"/>
      <c r="AE16" s="683"/>
      <c r="AF16" s="683"/>
      <c r="AG16" s="683"/>
      <c r="AH16" s="683"/>
      <c r="AI16" s="683"/>
      <c r="AJ16" s="683"/>
      <c r="AK16" s="683"/>
      <c r="AL16" s="683"/>
      <c r="AM16" s="683"/>
      <c r="AN16" s="683"/>
      <c r="AO16" s="683"/>
      <c r="AP16" s="683"/>
      <c r="AQ16" s="683"/>
      <c r="AR16" s="683"/>
      <c r="AS16" s="683"/>
      <c r="AT16" s="683"/>
      <c r="AU16" s="683"/>
      <c r="AV16" s="683"/>
      <c r="AW16" s="683"/>
      <c r="AX16" s="683"/>
      <c r="AY16" s="683"/>
      <c r="AZ16" s="683"/>
      <c r="BA16" s="683"/>
      <c r="BB16" s="683"/>
      <c r="BC16" s="683"/>
      <c r="BD16" s="683"/>
      <c r="BE16" s="683"/>
      <c r="BF16" s="683"/>
      <c r="BG16" s="683"/>
      <c r="BH16" s="683"/>
      <c r="BI16" s="683"/>
      <c r="BJ16" s="683"/>
      <c r="BK16" s="683"/>
      <c r="BL16" s="683"/>
      <c r="BM16" s="683"/>
      <c r="BN16" s="683"/>
      <c r="BO16" s="683"/>
      <c r="BP16" s="683"/>
      <c r="BQ16" s="683"/>
      <c r="BR16" s="683"/>
      <c r="BS16" s="683"/>
      <c r="BT16" s="683"/>
      <c r="BU16" s="683"/>
      <c r="BV16" s="683"/>
      <c r="BW16" s="683"/>
      <c r="BX16" s="683"/>
      <c r="BY16" s="683"/>
      <c r="BZ16" s="683"/>
      <c r="CA16" s="683"/>
      <c r="CB16" s="683"/>
      <c r="CC16" s="683"/>
      <c r="CD16" s="683"/>
      <c r="CE16" s="683"/>
      <c r="CF16" s="683"/>
      <c r="CG16" s="683"/>
      <c r="CH16" s="683"/>
      <c r="CI16" s="683"/>
      <c r="CJ16" s="683"/>
      <c r="CK16" s="683"/>
      <c r="CL16" s="683"/>
      <c r="CM16" s="683"/>
      <c r="CN16" s="683"/>
      <c r="CO16" s="683"/>
      <c r="CP16" s="683"/>
      <c r="CQ16" s="683"/>
      <c r="CR16" s="683"/>
      <c r="CS16" s="683"/>
      <c r="CT16" s="683"/>
      <c r="CU16" s="683"/>
      <c r="CV16" s="683"/>
      <c r="CW16" s="683"/>
      <c r="CX16" s="683"/>
      <c r="CY16" s="683"/>
      <c r="CZ16" s="683"/>
      <c r="DA16" s="683"/>
      <c r="DB16" s="683"/>
      <c r="DC16" s="683"/>
      <c r="DD16" s="683"/>
      <c r="DE16" s="683"/>
      <c r="DF16" s="683"/>
      <c r="DG16" s="683"/>
      <c r="DH16" s="683"/>
      <c r="DI16" s="683"/>
      <c r="DJ16" s="683"/>
      <c r="DK16" s="683"/>
      <c r="DL16" s="683"/>
      <c r="DM16" s="683"/>
      <c r="DN16" s="683"/>
      <c r="DO16" s="683"/>
      <c r="DP16" s="683"/>
      <c r="DQ16" s="683"/>
      <c r="DR16" s="683"/>
      <c r="DS16" s="683"/>
      <c r="DT16" s="683"/>
      <c r="DU16" s="683"/>
      <c r="DV16" s="683"/>
      <c r="DW16" s="683"/>
      <c r="DX16" s="683"/>
      <c r="DY16" s="683"/>
      <c r="DZ16" s="683"/>
      <c r="EA16" s="683"/>
      <c r="EB16" s="683"/>
      <c r="EC16" s="683"/>
      <c r="ED16" s="683"/>
      <c r="EE16" s="683"/>
      <c r="EF16" s="683"/>
      <c r="EG16" s="683"/>
      <c r="EH16" s="683"/>
      <c r="EI16" s="683"/>
      <c r="EJ16" s="683"/>
      <c r="EK16" s="683"/>
      <c r="EL16" s="683"/>
      <c r="EM16" s="683"/>
      <c r="EN16" s="683"/>
      <c r="EO16" s="683"/>
      <c r="EP16" s="683"/>
      <c r="EQ16" s="683"/>
      <c r="ER16" s="683"/>
      <c r="ES16" s="683"/>
      <c r="ET16" s="683"/>
      <c r="EU16" s="683"/>
      <c r="EV16" s="683"/>
      <c r="EW16" s="683"/>
      <c r="EX16" s="683"/>
      <c r="EY16" s="683"/>
      <c r="EZ16" s="683"/>
      <c r="FA16" s="683"/>
      <c r="FB16" s="683"/>
      <c r="FC16" s="683"/>
      <c r="FD16" s="683"/>
      <c r="FE16" s="683"/>
      <c r="FF16" s="683"/>
      <c r="FG16" s="683"/>
      <c r="FH16" s="683"/>
      <c r="FI16" s="683"/>
      <c r="FJ16" s="683"/>
      <c r="FK16" s="683"/>
      <c r="FL16" s="683"/>
      <c r="FM16" s="683"/>
      <c r="FN16" s="683"/>
      <c r="FO16" s="683"/>
      <c r="FP16" s="683"/>
      <c r="FQ16" s="683"/>
      <c r="FR16" s="683"/>
      <c r="FS16" s="683"/>
      <c r="FT16" s="683"/>
      <c r="FU16" s="683"/>
      <c r="FV16" s="683"/>
      <c r="FW16" s="683"/>
      <c r="FX16" s="683"/>
      <c r="FY16" s="683"/>
      <c r="FZ16" s="683"/>
      <c r="GA16" s="683"/>
      <c r="GB16" s="683"/>
      <c r="GC16" s="683"/>
      <c r="GD16" s="683"/>
      <c r="GE16" s="683"/>
      <c r="GF16" s="683"/>
      <c r="GG16" s="683"/>
      <c r="GH16" s="683"/>
      <c r="GI16" s="683"/>
      <c r="GJ16" s="683"/>
      <c r="GK16" s="683"/>
      <c r="GL16" s="683"/>
      <c r="GM16" s="683"/>
      <c r="GN16" s="683"/>
      <c r="GO16" s="683"/>
      <c r="GP16" s="683"/>
      <c r="GQ16" s="683"/>
      <c r="GR16" s="683"/>
      <c r="GS16" s="683"/>
      <c r="GT16" s="683"/>
      <c r="GU16" s="683"/>
      <c r="GV16" s="683"/>
      <c r="GW16" s="683"/>
      <c r="GX16" s="683"/>
      <c r="GY16" s="683"/>
      <c r="GZ16" s="683"/>
      <c r="HA16" s="683"/>
      <c r="HB16" s="683"/>
      <c r="HC16" s="683"/>
      <c r="HD16" s="683"/>
      <c r="HE16" s="683"/>
      <c r="HF16" s="683"/>
      <c r="HG16" s="683"/>
      <c r="HH16" s="683"/>
      <c r="HI16" s="683"/>
      <c r="HJ16" s="683"/>
      <c r="HK16" s="683"/>
      <c r="HL16" s="683"/>
      <c r="HM16" s="683"/>
      <c r="HN16" s="683"/>
      <c r="HO16" s="683"/>
      <c r="HP16" s="683"/>
      <c r="HQ16" s="683"/>
      <c r="HR16" s="683"/>
      <c r="HS16" s="683"/>
      <c r="HT16" s="683"/>
      <c r="HU16" s="683"/>
      <c r="HV16" s="683"/>
      <c r="HW16" s="683"/>
      <c r="HX16" s="683"/>
      <c r="HY16" s="683"/>
      <c r="HZ16" s="683"/>
      <c r="IA16" s="683"/>
      <c r="IB16" s="683"/>
      <c r="IC16" s="683"/>
      <c r="ID16" s="683"/>
      <c r="IE16" s="683"/>
      <c r="IF16" s="683"/>
      <c r="IG16" s="683"/>
      <c r="IH16" s="683"/>
      <c r="II16" s="683"/>
      <c r="IJ16" s="683"/>
      <c r="IK16" s="683"/>
      <c r="IL16" s="683"/>
      <c r="IM16" s="683"/>
      <c r="IN16" s="683"/>
      <c r="IO16" s="683"/>
      <c r="IP16" s="683"/>
      <c r="IQ16" s="683"/>
      <c r="IR16" s="683"/>
      <c r="IS16" s="683"/>
      <c r="IT16" s="683"/>
      <c r="IU16" s="683"/>
      <c r="IV16" s="683"/>
    </row>
    <row r="17" spans="1:256" ht="18.75">
      <c r="A17" s="674">
        <v>5</v>
      </c>
      <c r="B17" s="675" t="s">
        <v>227</v>
      </c>
      <c r="C17" s="676">
        <f t="shared" si="5"/>
        <v>7.2149431818181814E-2</v>
      </c>
      <c r="D17" s="677">
        <f>183981-56998</f>
        <v>126983</v>
      </c>
      <c r="E17" s="677"/>
      <c r="F17" s="677">
        <f t="shared" si="6"/>
        <v>5771.954545454545</v>
      </c>
      <c r="G17" s="677">
        <f t="shared" si="7"/>
        <v>132754.95454545456</v>
      </c>
      <c r="H17" s="677">
        <f t="shared" si="14"/>
        <v>98717.373696529598</v>
      </c>
      <c r="I17" s="677">
        <f t="shared" si="2"/>
        <v>98717.373696529598</v>
      </c>
      <c r="J17" s="677">
        <v>21428.373696529601</v>
      </c>
      <c r="K17" s="677">
        <v>23087</v>
      </c>
      <c r="L17" s="677">
        <v>22421</v>
      </c>
      <c r="M17" s="678">
        <v>31781</v>
      </c>
      <c r="N17" s="677"/>
      <c r="O17" s="677">
        <f t="shared" si="8"/>
        <v>34037.580848924961</v>
      </c>
      <c r="P17" s="679"/>
      <c r="Q17" s="680" t="e">
        <f>R17-#REF!</f>
        <v>#REF!</v>
      </c>
      <c r="R17" s="681">
        <f t="shared" si="3"/>
        <v>122437.58579545454</v>
      </c>
      <c r="S17" s="681">
        <f t="shared" si="4"/>
        <v>4545.4142045454646</v>
      </c>
      <c r="T17" s="682">
        <f t="shared" si="9"/>
        <v>55425.19352272727</v>
      </c>
      <c r="U17" s="683"/>
      <c r="V17" s="683"/>
      <c r="W17" s="683"/>
      <c r="X17" s="680">
        <f t="shared" si="10"/>
        <v>68787.268295454545</v>
      </c>
      <c r="Y17" s="680">
        <f t="shared" si="1"/>
        <v>-34749.687446529584</v>
      </c>
      <c r="Z17" s="677">
        <f t="shared" si="11"/>
        <v>209161.20284090907</v>
      </c>
      <c r="AA17" s="700">
        <f t="shared" si="12"/>
        <v>1.5755434782608693</v>
      </c>
      <c r="AB17" s="700">
        <f t="shared" si="13"/>
        <v>76406.248295454512</v>
      </c>
      <c r="AC17" s="683"/>
      <c r="AD17" s="683"/>
      <c r="AE17" s="683"/>
      <c r="AF17" s="683"/>
      <c r="AG17" s="683"/>
      <c r="AH17" s="683"/>
      <c r="AI17" s="683"/>
      <c r="AJ17" s="683"/>
      <c r="AK17" s="683"/>
      <c r="AL17" s="683"/>
      <c r="AM17" s="683"/>
      <c r="AN17" s="683"/>
      <c r="AO17" s="683"/>
      <c r="AP17" s="683"/>
      <c r="AQ17" s="683"/>
      <c r="AR17" s="683"/>
      <c r="AS17" s="683"/>
      <c r="AT17" s="683"/>
      <c r="AU17" s="683"/>
      <c r="AV17" s="683"/>
      <c r="AW17" s="683"/>
      <c r="AX17" s="683"/>
      <c r="AY17" s="683"/>
      <c r="AZ17" s="683"/>
      <c r="BA17" s="683"/>
      <c r="BB17" s="683"/>
      <c r="BC17" s="683"/>
      <c r="BD17" s="683"/>
      <c r="BE17" s="683"/>
      <c r="BF17" s="683"/>
      <c r="BG17" s="683"/>
      <c r="BH17" s="683"/>
      <c r="BI17" s="683"/>
      <c r="BJ17" s="683"/>
      <c r="BK17" s="683"/>
      <c r="BL17" s="683"/>
      <c r="BM17" s="683"/>
      <c r="BN17" s="683"/>
      <c r="BO17" s="683"/>
      <c r="BP17" s="683"/>
      <c r="BQ17" s="683"/>
      <c r="BR17" s="683"/>
      <c r="BS17" s="683"/>
      <c r="BT17" s="683"/>
      <c r="BU17" s="683"/>
      <c r="BV17" s="683"/>
      <c r="BW17" s="683"/>
      <c r="BX17" s="683"/>
      <c r="BY17" s="683"/>
      <c r="BZ17" s="683"/>
      <c r="CA17" s="683"/>
      <c r="CB17" s="683"/>
      <c r="CC17" s="683"/>
      <c r="CD17" s="683"/>
      <c r="CE17" s="683"/>
      <c r="CF17" s="683"/>
      <c r="CG17" s="683"/>
      <c r="CH17" s="683"/>
      <c r="CI17" s="683"/>
      <c r="CJ17" s="683"/>
      <c r="CK17" s="683"/>
      <c r="CL17" s="683"/>
      <c r="CM17" s="683"/>
      <c r="CN17" s="683"/>
      <c r="CO17" s="683"/>
      <c r="CP17" s="683"/>
      <c r="CQ17" s="683"/>
      <c r="CR17" s="683"/>
      <c r="CS17" s="683"/>
      <c r="CT17" s="683"/>
      <c r="CU17" s="683"/>
      <c r="CV17" s="683"/>
      <c r="CW17" s="683"/>
      <c r="CX17" s="683"/>
      <c r="CY17" s="683"/>
      <c r="CZ17" s="683"/>
      <c r="DA17" s="683"/>
      <c r="DB17" s="683"/>
      <c r="DC17" s="683"/>
      <c r="DD17" s="683"/>
      <c r="DE17" s="683"/>
      <c r="DF17" s="683"/>
      <c r="DG17" s="683"/>
      <c r="DH17" s="683"/>
      <c r="DI17" s="683"/>
      <c r="DJ17" s="683"/>
      <c r="DK17" s="683"/>
      <c r="DL17" s="683"/>
      <c r="DM17" s="683"/>
      <c r="DN17" s="683"/>
      <c r="DO17" s="683"/>
      <c r="DP17" s="683"/>
      <c r="DQ17" s="683"/>
      <c r="DR17" s="683"/>
      <c r="DS17" s="683"/>
      <c r="DT17" s="683"/>
      <c r="DU17" s="683"/>
      <c r="DV17" s="683"/>
      <c r="DW17" s="683"/>
      <c r="DX17" s="683"/>
      <c r="DY17" s="683"/>
      <c r="DZ17" s="683"/>
      <c r="EA17" s="683"/>
      <c r="EB17" s="683"/>
      <c r="EC17" s="683"/>
      <c r="ED17" s="683"/>
      <c r="EE17" s="683"/>
      <c r="EF17" s="683"/>
      <c r="EG17" s="683"/>
      <c r="EH17" s="683"/>
      <c r="EI17" s="683"/>
      <c r="EJ17" s="683"/>
      <c r="EK17" s="683"/>
      <c r="EL17" s="683"/>
      <c r="EM17" s="683"/>
      <c r="EN17" s="683"/>
      <c r="EO17" s="683"/>
      <c r="EP17" s="683"/>
      <c r="EQ17" s="683"/>
      <c r="ER17" s="683"/>
      <c r="ES17" s="683"/>
      <c r="ET17" s="683"/>
      <c r="EU17" s="683"/>
      <c r="EV17" s="683"/>
      <c r="EW17" s="683"/>
      <c r="EX17" s="683"/>
      <c r="EY17" s="683"/>
      <c r="EZ17" s="683"/>
      <c r="FA17" s="683"/>
      <c r="FB17" s="683"/>
      <c r="FC17" s="683"/>
      <c r="FD17" s="683"/>
      <c r="FE17" s="683"/>
      <c r="FF17" s="683"/>
      <c r="FG17" s="683"/>
      <c r="FH17" s="683"/>
      <c r="FI17" s="683"/>
      <c r="FJ17" s="683"/>
      <c r="FK17" s="683"/>
      <c r="FL17" s="683"/>
      <c r="FM17" s="683"/>
      <c r="FN17" s="683"/>
      <c r="FO17" s="683"/>
      <c r="FP17" s="683"/>
      <c r="FQ17" s="683"/>
      <c r="FR17" s="683"/>
      <c r="FS17" s="683"/>
      <c r="FT17" s="683"/>
      <c r="FU17" s="683"/>
      <c r="FV17" s="683"/>
      <c r="FW17" s="683"/>
      <c r="FX17" s="683"/>
      <c r="FY17" s="683"/>
      <c r="FZ17" s="683"/>
      <c r="GA17" s="683"/>
      <c r="GB17" s="683"/>
      <c r="GC17" s="683"/>
      <c r="GD17" s="683"/>
      <c r="GE17" s="683"/>
      <c r="GF17" s="683"/>
      <c r="GG17" s="683"/>
      <c r="GH17" s="683"/>
      <c r="GI17" s="683"/>
      <c r="GJ17" s="683"/>
      <c r="GK17" s="683"/>
      <c r="GL17" s="683"/>
      <c r="GM17" s="683"/>
      <c r="GN17" s="683"/>
      <c r="GO17" s="683"/>
      <c r="GP17" s="683"/>
      <c r="GQ17" s="683"/>
      <c r="GR17" s="683"/>
      <c r="GS17" s="683"/>
      <c r="GT17" s="683"/>
      <c r="GU17" s="683"/>
      <c r="GV17" s="683"/>
      <c r="GW17" s="683"/>
      <c r="GX17" s="683"/>
      <c r="GY17" s="683"/>
      <c r="GZ17" s="683"/>
      <c r="HA17" s="683"/>
      <c r="HB17" s="683"/>
      <c r="HC17" s="683"/>
      <c r="HD17" s="683"/>
      <c r="HE17" s="683"/>
      <c r="HF17" s="683"/>
      <c r="HG17" s="683"/>
      <c r="HH17" s="683"/>
      <c r="HI17" s="683"/>
      <c r="HJ17" s="683"/>
      <c r="HK17" s="683"/>
      <c r="HL17" s="683"/>
      <c r="HM17" s="683"/>
      <c r="HN17" s="683"/>
      <c r="HO17" s="683"/>
      <c r="HP17" s="683"/>
      <c r="HQ17" s="683"/>
      <c r="HR17" s="683"/>
      <c r="HS17" s="683"/>
      <c r="HT17" s="683"/>
      <c r="HU17" s="683"/>
      <c r="HV17" s="683"/>
      <c r="HW17" s="683"/>
      <c r="HX17" s="683"/>
      <c r="HY17" s="683"/>
      <c r="HZ17" s="683"/>
      <c r="IA17" s="683"/>
      <c r="IB17" s="683"/>
      <c r="IC17" s="683"/>
      <c r="ID17" s="683"/>
      <c r="IE17" s="683"/>
      <c r="IF17" s="683"/>
      <c r="IG17" s="683"/>
      <c r="IH17" s="683"/>
      <c r="II17" s="683"/>
      <c r="IJ17" s="683"/>
      <c r="IK17" s="683"/>
      <c r="IL17" s="683"/>
      <c r="IM17" s="683"/>
      <c r="IN17" s="683"/>
      <c r="IO17" s="683"/>
      <c r="IP17" s="683"/>
      <c r="IQ17" s="683"/>
      <c r="IR17" s="683"/>
      <c r="IS17" s="683"/>
      <c r="IT17" s="683"/>
      <c r="IU17" s="683"/>
      <c r="IV17" s="683"/>
    </row>
    <row r="18" spans="1:256" ht="18.75">
      <c r="A18" s="674">
        <v>6</v>
      </c>
      <c r="B18" s="675" t="s">
        <v>270</v>
      </c>
      <c r="C18" s="676">
        <f t="shared" si="5"/>
        <v>8.9225568181818177E-2</v>
      </c>
      <c r="D18" s="677">
        <f>227525-70488</f>
        <v>157037</v>
      </c>
      <c r="E18" s="677"/>
      <c r="F18" s="677">
        <f t="shared" si="6"/>
        <v>7138.045454545454</v>
      </c>
      <c r="G18" s="677">
        <f t="shared" si="7"/>
        <v>164175.04545454544</v>
      </c>
      <c r="H18" s="677">
        <f t="shared" si="14"/>
        <v>122081</v>
      </c>
      <c r="I18" s="677">
        <f t="shared" si="2"/>
        <v>122081</v>
      </c>
      <c r="J18" s="677">
        <v>26500</v>
      </c>
      <c r="K18" s="677">
        <v>28552</v>
      </c>
      <c r="L18" s="677">
        <v>27727</v>
      </c>
      <c r="M18" s="678">
        <v>39302</v>
      </c>
      <c r="N18" s="677"/>
      <c r="O18" s="677">
        <f t="shared" si="8"/>
        <v>42094.045454545441</v>
      </c>
      <c r="P18" s="685"/>
      <c r="Q18" s="680" t="e">
        <f>R18-#REF!</f>
        <v>#REF!</v>
      </c>
      <c r="R18" s="681">
        <f t="shared" si="3"/>
        <v>151415.78920454544</v>
      </c>
      <c r="S18" s="681">
        <f t="shared" si="4"/>
        <v>5621.2107954545645</v>
      </c>
      <c r="T18" s="682">
        <f t="shared" si="9"/>
        <v>68543.081477272717</v>
      </c>
      <c r="U18" s="683"/>
      <c r="V18" s="683"/>
      <c r="W18" s="683"/>
      <c r="X18" s="680">
        <f t="shared" si="10"/>
        <v>85067.656704545443</v>
      </c>
      <c r="Y18" s="680">
        <f t="shared" si="1"/>
        <v>-42973.611250000002</v>
      </c>
      <c r="Z18" s="677">
        <f t="shared" si="11"/>
        <v>258664.9221590909</v>
      </c>
      <c r="AA18" s="700">
        <f t="shared" si="12"/>
        <v>1.5755434782608697</v>
      </c>
      <c r="AB18" s="700">
        <f t="shared" si="13"/>
        <v>94489.876704545459</v>
      </c>
      <c r="AC18" s="683"/>
      <c r="AD18" s="683"/>
      <c r="AE18" s="683"/>
      <c r="AF18" s="683"/>
      <c r="AG18" s="683"/>
      <c r="AH18" s="683"/>
      <c r="AI18" s="683"/>
      <c r="AJ18" s="683"/>
      <c r="AK18" s="683"/>
      <c r="AL18" s="683"/>
      <c r="AM18" s="683"/>
      <c r="AN18" s="683"/>
      <c r="AO18" s="683"/>
      <c r="AP18" s="683"/>
      <c r="AQ18" s="683"/>
      <c r="AR18" s="683"/>
      <c r="AS18" s="683"/>
      <c r="AT18" s="683"/>
      <c r="AU18" s="683"/>
      <c r="AV18" s="683"/>
      <c r="AW18" s="683"/>
      <c r="AX18" s="683"/>
      <c r="AY18" s="683"/>
      <c r="AZ18" s="683"/>
      <c r="BA18" s="683"/>
      <c r="BB18" s="683"/>
      <c r="BC18" s="683"/>
      <c r="BD18" s="683"/>
      <c r="BE18" s="683"/>
      <c r="BF18" s="683"/>
      <c r="BG18" s="683"/>
      <c r="BH18" s="683"/>
      <c r="BI18" s="683"/>
      <c r="BJ18" s="683"/>
      <c r="BK18" s="683"/>
      <c r="BL18" s="683"/>
      <c r="BM18" s="683"/>
      <c r="BN18" s="683"/>
      <c r="BO18" s="683"/>
      <c r="BP18" s="683"/>
      <c r="BQ18" s="683"/>
      <c r="BR18" s="683"/>
      <c r="BS18" s="683"/>
      <c r="BT18" s="683"/>
      <c r="BU18" s="683"/>
      <c r="BV18" s="683"/>
      <c r="BW18" s="683"/>
      <c r="BX18" s="683"/>
      <c r="BY18" s="683"/>
      <c r="BZ18" s="683"/>
      <c r="CA18" s="683"/>
      <c r="CB18" s="683"/>
      <c r="CC18" s="683"/>
      <c r="CD18" s="683"/>
      <c r="CE18" s="683"/>
      <c r="CF18" s="683"/>
      <c r="CG18" s="683"/>
      <c r="CH18" s="683"/>
      <c r="CI18" s="683"/>
      <c r="CJ18" s="683"/>
      <c r="CK18" s="683"/>
      <c r="CL18" s="683"/>
      <c r="CM18" s="683"/>
      <c r="CN18" s="683"/>
      <c r="CO18" s="683"/>
      <c r="CP18" s="683"/>
      <c r="CQ18" s="683"/>
      <c r="CR18" s="683"/>
      <c r="CS18" s="683"/>
      <c r="CT18" s="683"/>
      <c r="CU18" s="683"/>
      <c r="CV18" s="683"/>
      <c r="CW18" s="683"/>
      <c r="CX18" s="683"/>
      <c r="CY18" s="683"/>
      <c r="CZ18" s="683"/>
      <c r="DA18" s="683"/>
      <c r="DB18" s="683"/>
      <c r="DC18" s="683"/>
      <c r="DD18" s="683"/>
      <c r="DE18" s="683"/>
      <c r="DF18" s="683"/>
      <c r="DG18" s="683"/>
      <c r="DH18" s="683"/>
      <c r="DI18" s="683"/>
      <c r="DJ18" s="683"/>
      <c r="DK18" s="683"/>
      <c r="DL18" s="683"/>
      <c r="DM18" s="683"/>
      <c r="DN18" s="683"/>
      <c r="DO18" s="683"/>
      <c r="DP18" s="683"/>
      <c r="DQ18" s="683"/>
      <c r="DR18" s="683"/>
      <c r="DS18" s="683"/>
      <c r="DT18" s="683"/>
      <c r="DU18" s="683"/>
      <c r="DV18" s="683"/>
      <c r="DW18" s="683"/>
      <c r="DX18" s="683"/>
      <c r="DY18" s="683"/>
      <c r="DZ18" s="683"/>
      <c r="EA18" s="683"/>
      <c r="EB18" s="683"/>
      <c r="EC18" s="683"/>
      <c r="ED18" s="683"/>
      <c r="EE18" s="683"/>
      <c r="EF18" s="683"/>
      <c r="EG18" s="683"/>
      <c r="EH18" s="683"/>
      <c r="EI18" s="683"/>
      <c r="EJ18" s="683"/>
      <c r="EK18" s="683"/>
      <c r="EL18" s="683"/>
      <c r="EM18" s="683"/>
      <c r="EN18" s="683"/>
      <c r="EO18" s="683"/>
      <c r="EP18" s="683"/>
      <c r="EQ18" s="683"/>
      <c r="ER18" s="683"/>
      <c r="ES18" s="683"/>
      <c r="ET18" s="683"/>
      <c r="EU18" s="683"/>
      <c r="EV18" s="683"/>
      <c r="EW18" s="683"/>
      <c r="EX18" s="683"/>
      <c r="EY18" s="683"/>
      <c r="EZ18" s="683"/>
      <c r="FA18" s="683"/>
      <c r="FB18" s="683"/>
      <c r="FC18" s="683"/>
      <c r="FD18" s="683"/>
      <c r="FE18" s="683"/>
      <c r="FF18" s="683"/>
      <c r="FG18" s="683"/>
      <c r="FH18" s="683"/>
      <c r="FI18" s="683"/>
      <c r="FJ18" s="683"/>
      <c r="FK18" s="683"/>
      <c r="FL18" s="683"/>
      <c r="FM18" s="683"/>
      <c r="FN18" s="683"/>
      <c r="FO18" s="683"/>
      <c r="FP18" s="683"/>
      <c r="FQ18" s="683"/>
      <c r="FR18" s="683"/>
      <c r="FS18" s="683"/>
      <c r="FT18" s="683"/>
      <c r="FU18" s="683"/>
      <c r="FV18" s="683"/>
      <c r="FW18" s="683"/>
      <c r="FX18" s="683"/>
      <c r="FY18" s="683"/>
      <c r="FZ18" s="683"/>
      <c r="GA18" s="683"/>
      <c r="GB18" s="683"/>
      <c r="GC18" s="683"/>
      <c r="GD18" s="683"/>
      <c r="GE18" s="683"/>
      <c r="GF18" s="683"/>
      <c r="GG18" s="683"/>
      <c r="GH18" s="683"/>
      <c r="GI18" s="683"/>
      <c r="GJ18" s="683"/>
      <c r="GK18" s="683"/>
      <c r="GL18" s="683"/>
      <c r="GM18" s="683"/>
      <c r="GN18" s="683"/>
      <c r="GO18" s="683"/>
      <c r="GP18" s="683"/>
      <c r="GQ18" s="683"/>
      <c r="GR18" s="683"/>
      <c r="GS18" s="683"/>
      <c r="GT18" s="683"/>
      <c r="GU18" s="683"/>
      <c r="GV18" s="683"/>
      <c r="GW18" s="683"/>
      <c r="GX18" s="683"/>
      <c r="GY18" s="683"/>
      <c r="GZ18" s="683"/>
      <c r="HA18" s="683"/>
      <c r="HB18" s="683"/>
      <c r="HC18" s="683"/>
      <c r="HD18" s="683"/>
      <c r="HE18" s="683"/>
      <c r="HF18" s="683"/>
      <c r="HG18" s="683"/>
      <c r="HH18" s="683"/>
      <c r="HI18" s="683"/>
      <c r="HJ18" s="683"/>
      <c r="HK18" s="683"/>
      <c r="HL18" s="683"/>
      <c r="HM18" s="683"/>
      <c r="HN18" s="683"/>
      <c r="HO18" s="683"/>
      <c r="HP18" s="683"/>
      <c r="HQ18" s="683"/>
      <c r="HR18" s="683"/>
      <c r="HS18" s="683"/>
      <c r="HT18" s="683"/>
      <c r="HU18" s="683"/>
      <c r="HV18" s="683"/>
      <c r="HW18" s="683"/>
      <c r="HX18" s="683"/>
      <c r="HY18" s="683"/>
      <c r="HZ18" s="683"/>
      <c r="IA18" s="683"/>
      <c r="IB18" s="683"/>
      <c r="IC18" s="683"/>
      <c r="ID18" s="683"/>
      <c r="IE18" s="683"/>
      <c r="IF18" s="683"/>
      <c r="IG18" s="683"/>
      <c r="IH18" s="683"/>
      <c r="II18" s="683"/>
      <c r="IJ18" s="683"/>
      <c r="IK18" s="683"/>
      <c r="IL18" s="683"/>
      <c r="IM18" s="683"/>
      <c r="IN18" s="683"/>
      <c r="IO18" s="683"/>
      <c r="IP18" s="683"/>
      <c r="IQ18" s="683"/>
      <c r="IR18" s="683"/>
      <c r="IS18" s="683"/>
      <c r="IT18" s="683"/>
      <c r="IU18" s="683"/>
      <c r="IV18" s="683"/>
    </row>
    <row r="19" spans="1:256" ht="18.75">
      <c r="A19" s="674">
        <v>7</v>
      </c>
      <c r="B19" s="675" t="s">
        <v>233</v>
      </c>
      <c r="C19" s="676">
        <f t="shared" si="5"/>
        <v>5.8378409090909092E-2</v>
      </c>
      <c r="D19" s="677">
        <f>148865-46119</f>
        <v>102746</v>
      </c>
      <c r="E19" s="677"/>
      <c r="F19" s="677">
        <f t="shared" si="6"/>
        <v>4670.272727272727</v>
      </c>
      <c r="G19" s="677">
        <f t="shared" si="7"/>
        <v>107416.27272727272</v>
      </c>
      <c r="H19" s="677">
        <f t="shared" si="14"/>
        <v>79875.402839682589</v>
      </c>
      <c r="I19" s="677">
        <f t="shared" si="2"/>
        <v>79875.402839682589</v>
      </c>
      <c r="J19" s="677">
        <v>17338.402839682585</v>
      </c>
      <c r="K19" s="677">
        <v>18681</v>
      </c>
      <c r="L19" s="677">
        <v>18141</v>
      </c>
      <c r="M19" s="678">
        <v>25715</v>
      </c>
      <c r="N19" s="677"/>
      <c r="O19" s="677">
        <f t="shared" si="8"/>
        <v>27540.869887590132</v>
      </c>
      <c r="P19" s="685"/>
      <c r="Q19" s="680" t="e">
        <f>R19-#REF!</f>
        <v>#REF!</v>
      </c>
      <c r="R19" s="681">
        <f t="shared" si="3"/>
        <v>99068.160227272732</v>
      </c>
      <c r="S19" s="681">
        <f t="shared" si="4"/>
        <v>3677.8397727272677</v>
      </c>
      <c r="T19" s="682">
        <f t="shared" si="9"/>
        <v>44846.293863636361</v>
      </c>
      <c r="U19" s="683"/>
      <c r="V19" s="683"/>
      <c r="W19" s="683"/>
      <c r="X19" s="680">
        <f t="shared" si="10"/>
        <v>55657.975227272727</v>
      </c>
      <c r="Y19" s="680">
        <f t="shared" si="1"/>
        <v>-28117.105339682596</v>
      </c>
      <c r="Z19" s="677">
        <f t="shared" si="11"/>
        <v>169239.00795454546</v>
      </c>
      <c r="AA19" s="700">
        <f t="shared" si="12"/>
        <v>1.5755434782608697</v>
      </c>
      <c r="AB19" s="700">
        <f t="shared" si="13"/>
        <v>61822.735227272744</v>
      </c>
      <c r="AC19" s="683"/>
      <c r="AD19" s="683"/>
      <c r="AE19" s="683"/>
      <c r="AF19" s="683"/>
      <c r="AG19" s="683"/>
      <c r="AH19" s="683"/>
      <c r="AI19" s="683"/>
      <c r="AJ19" s="683"/>
      <c r="AK19" s="683"/>
      <c r="AL19" s="683"/>
      <c r="AM19" s="683"/>
      <c r="AN19" s="683"/>
      <c r="AO19" s="683"/>
      <c r="AP19" s="683"/>
      <c r="AQ19" s="683"/>
      <c r="AR19" s="683"/>
      <c r="AS19" s="683"/>
      <c r="AT19" s="683"/>
      <c r="AU19" s="683"/>
      <c r="AV19" s="683"/>
      <c r="AW19" s="683"/>
      <c r="AX19" s="683"/>
      <c r="AY19" s="683"/>
      <c r="AZ19" s="683"/>
      <c r="BA19" s="683"/>
      <c r="BB19" s="683"/>
      <c r="BC19" s="683"/>
      <c r="BD19" s="683"/>
      <c r="BE19" s="683"/>
      <c r="BF19" s="683"/>
      <c r="BG19" s="683"/>
      <c r="BH19" s="683"/>
      <c r="BI19" s="683"/>
      <c r="BJ19" s="683"/>
      <c r="BK19" s="683"/>
      <c r="BL19" s="683"/>
      <c r="BM19" s="683"/>
      <c r="BN19" s="683"/>
      <c r="BO19" s="683"/>
      <c r="BP19" s="683"/>
      <c r="BQ19" s="683"/>
      <c r="BR19" s="683"/>
      <c r="BS19" s="683"/>
      <c r="BT19" s="683"/>
      <c r="BU19" s="683"/>
      <c r="BV19" s="683"/>
      <c r="BW19" s="683"/>
      <c r="BX19" s="683"/>
      <c r="BY19" s="683"/>
      <c r="BZ19" s="683"/>
      <c r="CA19" s="683"/>
      <c r="CB19" s="683"/>
      <c r="CC19" s="683"/>
      <c r="CD19" s="683"/>
      <c r="CE19" s="683"/>
      <c r="CF19" s="683"/>
      <c r="CG19" s="683"/>
      <c r="CH19" s="683"/>
      <c r="CI19" s="683"/>
      <c r="CJ19" s="683"/>
      <c r="CK19" s="683"/>
      <c r="CL19" s="683"/>
      <c r="CM19" s="683"/>
      <c r="CN19" s="683"/>
      <c r="CO19" s="683"/>
      <c r="CP19" s="683"/>
      <c r="CQ19" s="683"/>
      <c r="CR19" s="683"/>
      <c r="CS19" s="683"/>
      <c r="CT19" s="683"/>
      <c r="CU19" s="683"/>
      <c r="CV19" s="683"/>
      <c r="CW19" s="683"/>
      <c r="CX19" s="683"/>
      <c r="CY19" s="683"/>
      <c r="CZ19" s="683"/>
      <c r="DA19" s="683"/>
      <c r="DB19" s="683"/>
      <c r="DC19" s="683"/>
      <c r="DD19" s="683"/>
      <c r="DE19" s="683"/>
      <c r="DF19" s="683"/>
      <c r="DG19" s="683"/>
      <c r="DH19" s="683"/>
      <c r="DI19" s="683"/>
      <c r="DJ19" s="683"/>
      <c r="DK19" s="683"/>
      <c r="DL19" s="683"/>
      <c r="DM19" s="683"/>
      <c r="DN19" s="683"/>
      <c r="DO19" s="683"/>
      <c r="DP19" s="683"/>
      <c r="DQ19" s="683"/>
      <c r="DR19" s="683"/>
      <c r="DS19" s="683"/>
      <c r="DT19" s="683"/>
      <c r="DU19" s="683"/>
      <c r="DV19" s="683"/>
      <c r="DW19" s="683"/>
      <c r="DX19" s="683"/>
      <c r="DY19" s="683"/>
      <c r="DZ19" s="683"/>
      <c r="EA19" s="683"/>
      <c r="EB19" s="683"/>
      <c r="EC19" s="683"/>
      <c r="ED19" s="683"/>
      <c r="EE19" s="683"/>
      <c r="EF19" s="683"/>
      <c r="EG19" s="683"/>
      <c r="EH19" s="683"/>
      <c r="EI19" s="683"/>
      <c r="EJ19" s="683"/>
      <c r="EK19" s="683"/>
      <c r="EL19" s="683"/>
      <c r="EM19" s="683"/>
      <c r="EN19" s="683"/>
      <c r="EO19" s="683"/>
      <c r="EP19" s="683"/>
      <c r="EQ19" s="683"/>
      <c r="ER19" s="683"/>
      <c r="ES19" s="683"/>
      <c r="ET19" s="683"/>
      <c r="EU19" s="683"/>
      <c r="EV19" s="683"/>
      <c r="EW19" s="683"/>
      <c r="EX19" s="683"/>
      <c r="EY19" s="683"/>
      <c r="EZ19" s="683"/>
      <c r="FA19" s="683"/>
      <c r="FB19" s="683"/>
      <c r="FC19" s="683"/>
      <c r="FD19" s="683"/>
      <c r="FE19" s="683"/>
      <c r="FF19" s="683"/>
      <c r="FG19" s="683"/>
      <c r="FH19" s="683"/>
      <c r="FI19" s="683"/>
      <c r="FJ19" s="683"/>
      <c r="FK19" s="683"/>
      <c r="FL19" s="683"/>
      <c r="FM19" s="683"/>
      <c r="FN19" s="683"/>
      <c r="FO19" s="683"/>
      <c r="FP19" s="683"/>
      <c r="FQ19" s="683"/>
      <c r="FR19" s="683"/>
      <c r="FS19" s="683"/>
      <c r="FT19" s="683"/>
      <c r="FU19" s="683"/>
      <c r="FV19" s="683"/>
      <c r="FW19" s="683"/>
      <c r="FX19" s="683"/>
      <c r="FY19" s="683"/>
      <c r="FZ19" s="683"/>
      <c r="GA19" s="683"/>
      <c r="GB19" s="683"/>
      <c r="GC19" s="683"/>
      <c r="GD19" s="683"/>
      <c r="GE19" s="683"/>
      <c r="GF19" s="683"/>
      <c r="GG19" s="683"/>
      <c r="GH19" s="683"/>
      <c r="GI19" s="683"/>
      <c r="GJ19" s="683"/>
      <c r="GK19" s="683"/>
      <c r="GL19" s="683"/>
      <c r="GM19" s="683"/>
      <c r="GN19" s="683"/>
      <c r="GO19" s="683"/>
      <c r="GP19" s="683"/>
      <c r="GQ19" s="683"/>
      <c r="GR19" s="683"/>
      <c r="GS19" s="683"/>
      <c r="GT19" s="683"/>
      <c r="GU19" s="683"/>
      <c r="GV19" s="683"/>
      <c r="GW19" s="683"/>
      <c r="GX19" s="683"/>
      <c r="GY19" s="683"/>
      <c r="GZ19" s="683"/>
      <c r="HA19" s="683"/>
      <c r="HB19" s="683"/>
      <c r="HC19" s="683"/>
      <c r="HD19" s="683"/>
      <c r="HE19" s="683"/>
      <c r="HF19" s="683"/>
      <c r="HG19" s="683"/>
      <c r="HH19" s="683"/>
      <c r="HI19" s="683"/>
      <c r="HJ19" s="683"/>
      <c r="HK19" s="683"/>
      <c r="HL19" s="683"/>
      <c r="HM19" s="683"/>
      <c r="HN19" s="683"/>
      <c r="HO19" s="683"/>
      <c r="HP19" s="683"/>
      <c r="HQ19" s="683"/>
      <c r="HR19" s="683"/>
      <c r="HS19" s="683"/>
      <c r="HT19" s="683"/>
      <c r="HU19" s="683"/>
      <c r="HV19" s="683"/>
      <c r="HW19" s="683"/>
      <c r="HX19" s="683"/>
      <c r="HY19" s="683"/>
      <c r="HZ19" s="683"/>
      <c r="IA19" s="683"/>
      <c r="IB19" s="683"/>
      <c r="IC19" s="683"/>
      <c r="ID19" s="683"/>
      <c r="IE19" s="683"/>
      <c r="IF19" s="683"/>
      <c r="IG19" s="683"/>
      <c r="IH19" s="683"/>
      <c r="II19" s="683"/>
      <c r="IJ19" s="683"/>
      <c r="IK19" s="683"/>
      <c r="IL19" s="683"/>
      <c r="IM19" s="683"/>
      <c r="IN19" s="683"/>
      <c r="IO19" s="683"/>
      <c r="IP19" s="683"/>
      <c r="IQ19" s="683"/>
      <c r="IR19" s="683"/>
      <c r="IS19" s="683"/>
      <c r="IT19" s="683"/>
      <c r="IU19" s="683"/>
      <c r="IV19" s="683"/>
    </row>
    <row r="20" spans="1:256" ht="18.75">
      <c r="A20" s="674">
        <v>8</v>
      </c>
      <c r="B20" s="675" t="s">
        <v>236</v>
      </c>
      <c r="C20" s="676">
        <f t="shared" si="5"/>
        <v>2.8060795454545453E-2</v>
      </c>
      <c r="D20" s="677">
        <f>71556-22169</f>
        <v>49387</v>
      </c>
      <c r="E20" s="677"/>
      <c r="F20" s="677">
        <f>C20*80000</f>
        <v>2244.863636363636</v>
      </c>
      <c r="G20" s="677">
        <f t="shared" si="7"/>
        <v>51631.863636363632</v>
      </c>
      <c r="H20" s="677">
        <f t="shared" si="14"/>
        <v>38393.22641919228</v>
      </c>
      <c r="I20" s="677">
        <f>SUM(J20:N20)</f>
        <v>38393.22641919228</v>
      </c>
      <c r="J20" s="677">
        <v>8334.2264191922804</v>
      </c>
      <c r="K20" s="677">
        <v>8979</v>
      </c>
      <c r="L20" s="677">
        <v>8720</v>
      </c>
      <c r="M20" s="678">
        <v>12360</v>
      </c>
      <c r="N20" s="677"/>
      <c r="O20" s="677">
        <f t="shared" si="8"/>
        <v>13238.637217171352</v>
      </c>
      <c r="P20" s="679"/>
      <c r="Q20" s="680" t="e">
        <f>R20-#REF!</f>
        <v>#REF!</v>
      </c>
      <c r="R20" s="681">
        <f t="shared" si="3"/>
        <v>47619.169886363634</v>
      </c>
      <c r="S20" s="681">
        <f t="shared" si="4"/>
        <v>1767.8301136363661</v>
      </c>
      <c r="T20" s="682">
        <f t="shared" si="9"/>
        <v>21556.303068181816</v>
      </c>
      <c r="U20" s="683"/>
      <c r="V20" s="683"/>
      <c r="W20" s="683"/>
      <c r="X20" s="680">
        <f t="shared" si="10"/>
        <v>26753.162386363634</v>
      </c>
      <c r="Y20" s="680">
        <f t="shared" si="1"/>
        <v>-13514.525169192282</v>
      </c>
      <c r="Z20" s="677">
        <f t="shared" si="11"/>
        <v>81348.246022727268</v>
      </c>
      <c r="AA20" s="700">
        <f t="shared" si="12"/>
        <v>1.5755434782608695</v>
      </c>
      <c r="AB20" s="700">
        <f t="shared" si="13"/>
        <v>29716.382386363635</v>
      </c>
      <c r="AC20" s="683"/>
      <c r="AD20" s="683"/>
      <c r="AE20" s="683"/>
      <c r="AF20" s="683"/>
      <c r="AG20" s="683"/>
      <c r="AH20" s="683"/>
      <c r="AI20" s="683"/>
      <c r="AJ20" s="683"/>
      <c r="AK20" s="683"/>
      <c r="AL20" s="683"/>
      <c r="AM20" s="683"/>
      <c r="AN20" s="683"/>
      <c r="AO20" s="683"/>
      <c r="AP20" s="683"/>
      <c r="AQ20" s="683"/>
      <c r="AR20" s="683"/>
      <c r="AS20" s="683"/>
      <c r="AT20" s="683"/>
      <c r="AU20" s="683"/>
      <c r="AV20" s="683"/>
      <c r="AW20" s="683"/>
      <c r="AX20" s="683"/>
      <c r="AY20" s="683"/>
      <c r="AZ20" s="683"/>
      <c r="BA20" s="683"/>
      <c r="BB20" s="683"/>
      <c r="BC20" s="683"/>
      <c r="BD20" s="683"/>
      <c r="BE20" s="683"/>
      <c r="BF20" s="683"/>
      <c r="BG20" s="683"/>
      <c r="BH20" s="683"/>
      <c r="BI20" s="683"/>
      <c r="BJ20" s="683"/>
      <c r="BK20" s="683"/>
      <c r="BL20" s="683"/>
      <c r="BM20" s="683"/>
      <c r="BN20" s="683"/>
      <c r="BO20" s="683"/>
      <c r="BP20" s="683"/>
      <c r="BQ20" s="683"/>
      <c r="BR20" s="683"/>
      <c r="BS20" s="683"/>
      <c r="BT20" s="683"/>
      <c r="BU20" s="683"/>
      <c r="BV20" s="683"/>
      <c r="BW20" s="683"/>
      <c r="BX20" s="683"/>
      <c r="BY20" s="683"/>
      <c r="BZ20" s="683"/>
      <c r="CA20" s="683"/>
      <c r="CB20" s="683"/>
      <c r="CC20" s="683"/>
      <c r="CD20" s="683"/>
      <c r="CE20" s="683"/>
      <c r="CF20" s="683"/>
      <c r="CG20" s="683"/>
      <c r="CH20" s="683"/>
      <c r="CI20" s="683"/>
      <c r="CJ20" s="683"/>
      <c r="CK20" s="683"/>
      <c r="CL20" s="683"/>
      <c r="CM20" s="683"/>
      <c r="CN20" s="683"/>
      <c r="CO20" s="683"/>
      <c r="CP20" s="683"/>
      <c r="CQ20" s="683"/>
      <c r="CR20" s="683"/>
      <c r="CS20" s="683"/>
      <c r="CT20" s="683"/>
      <c r="CU20" s="683"/>
      <c r="CV20" s="683"/>
      <c r="CW20" s="683"/>
      <c r="CX20" s="683"/>
      <c r="CY20" s="683"/>
      <c r="CZ20" s="683"/>
      <c r="DA20" s="683"/>
      <c r="DB20" s="683"/>
      <c r="DC20" s="683"/>
      <c r="DD20" s="683"/>
      <c r="DE20" s="683"/>
      <c r="DF20" s="683"/>
      <c r="DG20" s="683"/>
      <c r="DH20" s="683"/>
      <c r="DI20" s="683"/>
      <c r="DJ20" s="683"/>
      <c r="DK20" s="683"/>
      <c r="DL20" s="683"/>
      <c r="DM20" s="683"/>
      <c r="DN20" s="683"/>
      <c r="DO20" s="683"/>
      <c r="DP20" s="683"/>
      <c r="DQ20" s="683"/>
      <c r="DR20" s="683"/>
      <c r="DS20" s="683"/>
      <c r="DT20" s="683"/>
      <c r="DU20" s="683"/>
      <c r="DV20" s="683"/>
      <c r="DW20" s="683"/>
      <c r="DX20" s="683"/>
      <c r="DY20" s="683"/>
      <c r="DZ20" s="683"/>
      <c r="EA20" s="683"/>
      <c r="EB20" s="683"/>
      <c r="EC20" s="683"/>
      <c r="ED20" s="683"/>
      <c r="EE20" s="683"/>
      <c r="EF20" s="683"/>
      <c r="EG20" s="683"/>
      <c r="EH20" s="683"/>
      <c r="EI20" s="683"/>
      <c r="EJ20" s="683"/>
      <c r="EK20" s="683"/>
      <c r="EL20" s="683"/>
      <c r="EM20" s="683"/>
      <c r="EN20" s="683"/>
      <c r="EO20" s="683"/>
      <c r="EP20" s="683"/>
      <c r="EQ20" s="683"/>
      <c r="ER20" s="683"/>
      <c r="ES20" s="683"/>
      <c r="ET20" s="683"/>
      <c r="EU20" s="683"/>
      <c r="EV20" s="683"/>
      <c r="EW20" s="683"/>
      <c r="EX20" s="683"/>
      <c r="EY20" s="683"/>
      <c r="EZ20" s="683"/>
      <c r="FA20" s="683"/>
      <c r="FB20" s="683"/>
      <c r="FC20" s="683"/>
      <c r="FD20" s="683"/>
      <c r="FE20" s="683"/>
      <c r="FF20" s="683"/>
      <c r="FG20" s="683"/>
      <c r="FH20" s="683"/>
      <c r="FI20" s="683"/>
      <c r="FJ20" s="683"/>
      <c r="FK20" s="683"/>
      <c r="FL20" s="683"/>
      <c r="FM20" s="683"/>
      <c r="FN20" s="683"/>
      <c r="FO20" s="683"/>
      <c r="FP20" s="683"/>
      <c r="FQ20" s="683"/>
      <c r="FR20" s="683"/>
      <c r="FS20" s="683"/>
      <c r="FT20" s="683"/>
      <c r="FU20" s="683"/>
      <c r="FV20" s="683"/>
      <c r="FW20" s="683"/>
      <c r="FX20" s="683"/>
      <c r="FY20" s="683"/>
      <c r="FZ20" s="683"/>
      <c r="GA20" s="683"/>
      <c r="GB20" s="683"/>
      <c r="GC20" s="683"/>
      <c r="GD20" s="683"/>
      <c r="GE20" s="683"/>
      <c r="GF20" s="683"/>
      <c r="GG20" s="683"/>
      <c r="GH20" s="683"/>
      <c r="GI20" s="683"/>
      <c r="GJ20" s="683"/>
      <c r="GK20" s="683"/>
      <c r="GL20" s="683"/>
      <c r="GM20" s="683"/>
      <c r="GN20" s="683"/>
      <c r="GO20" s="683"/>
      <c r="GP20" s="683"/>
      <c r="GQ20" s="683"/>
      <c r="GR20" s="683"/>
      <c r="GS20" s="683"/>
      <c r="GT20" s="683"/>
      <c r="GU20" s="683"/>
      <c r="GV20" s="683"/>
      <c r="GW20" s="683"/>
      <c r="GX20" s="683"/>
      <c r="GY20" s="683"/>
      <c r="GZ20" s="683"/>
      <c r="HA20" s="683"/>
      <c r="HB20" s="683"/>
      <c r="HC20" s="683"/>
      <c r="HD20" s="683"/>
      <c r="HE20" s="683"/>
      <c r="HF20" s="683"/>
      <c r="HG20" s="683"/>
      <c r="HH20" s="683"/>
      <c r="HI20" s="683"/>
      <c r="HJ20" s="683"/>
      <c r="HK20" s="683"/>
      <c r="HL20" s="683"/>
      <c r="HM20" s="683"/>
      <c r="HN20" s="683"/>
      <c r="HO20" s="683"/>
      <c r="HP20" s="683"/>
      <c r="HQ20" s="683"/>
      <c r="HR20" s="683"/>
      <c r="HS20" s="683"/>
      <c r="HT20" s="683"/>
      <c r="HU20" s="683"/>
      <c r="HV20" s="683"/>
      <c r="HW20" s="683"/>
      <c r="HX20" s="683"/>
      <c r="HY20" s="683"/>
      <c r="HZ20" s="683"/>
      <c r="IA20" s="683"/>
      <c r="IB20" s="683"/>
      <c r="IC20" s="683"/>
      <c r="ID20" s="683"/>
      <c r="IE20" s="683"/>
      <c r="IF20" s="683"/>
      <c r="IG20" s="683"/>
      <c r="IH20" s="683"/>
      <c r="II20" s="683"/>
      <c r="IJ20" s="683"/>
      <c r="IK20" s="683"/>
      <c r="IL20" s="683"/>
      <c r="IM20" s="683"/>
      <c r="IN20" s="683"/>
      <c r="IO20" s="683"/>
      <c r="IP20" s="683"/>
      <c r="IQ20" s="683"/>
      <c r="IR20" s="683"/>
      <c r="IS20" s="683"/>
      <c r="IT20" s="683"/>
      <c r="IU20" s="683"/>
      <c r="IV20" s="683"/>
    </row>
    <row r="21" spans="1:256" ht="18.75">
      <c r="A21" s="674">
        <v>9</v>
      </c>
      <c r="B21" s="675" t="s">
        <v>964</v>
      </c>
      <c r="C21" s="676">
        <f t="shared" si="5"/>
        <v>8.7855113636363641E-2</v>
      </c>
      <c r="D21" s="677">
        <f>224030-69405</f>
        <v>154625</v>
      </c>
      <c r="E21" s="677"/>
      <c r="F21" s="677">
        <f t="shared" si="6"/>
        <v>7028.409090909091</v>
      </c>
      <c r="G21" s="677">
        <f t="shared" si="7"/>
        <v>161653.40909090909</v>
      </c>
      <c r="H21" s="677">
        <f t="shared" si="14"/>
        <v>120206.95784309784</v>
      </c>
      <c r="I21" s="677">
        <f t="shared" si="2"/>
        <v>120206.95784309784</v>
      </c>
      <c r="J21" s="677">
        <v>26092.957843097844</v>
      </c>
      <c r="K21" s="677">
        <v>28114</v>
      </c>
      <c r="L21" s="677">
        <v>27301</v>
      </c>
      <c r="M21" s="678">
        <v>38699</v>
      </c>
      <c r="N21" s="677"/>
      <c r="O21" s="677">
        <f t="shared" si="8"/>
        <v>41446.451247811245</v>
      </c>
      <c r="P21" s="679"/>
      <c r="Q21" s="680" t="e">
        <f>R21-#REF!</f>
        <v>#REF!</v>
      </c>
      <c r="R21" s="681">
        <f t="shared" si="3"/>
        <v>149090.12784090909</v>
      </c>
      <c r="S21" s="681">
        <f t="shared" si="4"/>
        <v>5534.8721590909117</v>
      </c>
      <c r="T21" s="682">
        <f t="shared" si="9"/>
        <v>67490.298295454544</v>
      </c>
      <c r="U21" s="683"/>
      <c r="V21" s="683"/>
      <c r="W21" s="683"/>
      <c r="X21" s="680">
        <f t="shared" si="10"/>
        <v>83761.065340909088</v>
      </c>
      <c r="Y21" s="680">
        <f t="shared" si="1"/>
        <v>-42314.614093097844</v>
      </c>
      <c r="Z21" s="677">
        <f t="shared" si="11"/>
        <v>254691.97443181821</v>
      </c>
      <c r="AA21" s="700">
        <f t="shared" si="12"/>
        <v>1.5755434782608697</v>
      </c>
      <c r="AB21" s="700">
        <f t="shared" si="13"/>
        <v>93038.565340909117</v>
      </c>
      <c r="AC21" s="683"/>
      <c r="AD21" s="683"/>
      <c r="AE21" s="683"/>
      <c r="AF21" s="683"/>
      <c r="AG21" s="683"/>
      <c r="AH21" s="683"/>
      <c r="AI21" s="683"/>
      <c r="AJ21" s="683"/>
      <c r="AK21" s="683"/>
      <c r="AL21" s="683"/>
      <c r="AM21" s="683"/>
      <c r="AN21" s="683"/>
      <c r="AO21" s="683"/>
      <c r="AP21" s="683"/>
      <c r="AQ21" s="683"/>
      <c r="AR21" s="683"/>
      <c r="AS21" s="683"/>
      <c r="AT21" s="683"/>
      <c r="AU21" s="683"/>
      <c r="AV21" s="683"/>
      <c r="AW21" s="683"/>
      <c r="AX21" s="683"/>
      <c r="AY21" s="683"/>
      <c r="AZ21" s="683"/>
      <c r="BA21" s="683"/>
      <c r="BB21" s="683"/>
      <c r="BC21" s="683"/>
      <c r="BD21" s="683"/>
      <c r="BE21" s="683"/>
      <c r="BF21" s="683"/>
      <c r="BG21" s="683"/>
      <c r="BH21" s="683"/>
      <c r="BI21" s="683"/>
      <c r="BJ21" s="683"/>
      <c r="BK21" s="683"/>
      <c r="BL21" s="683"/>
      <c r="BM21" s="683"/>
      <c r="BN21" s="683"/>
      <c r="BO21" s="683"/>
      <c r="BP21" s="683"/>
      <c r="BQ21" s="683"/>
      <c r="BR21" s="683"/>
      <c r="BS21" s="683"/>
      <c r="BT21" s="683"/>
      <c r="BU21" s="683"/>
      <c r="BV21" s="683"/>
      <c r="BW21" s="683"/>
      <c r="BX21" s="683"/>
      <c r="BY21" s="683"/>
      <c r="BZ21" s="683"/>
      <c r="CA21" s="683"/>
      <c r="CB21" s="683"/>
      <c r="CC21" s="683"/>
      <c r="CD21" s="683"/>
      <c r="CE21" s="683"/>
      <c r="CF21" s="683"/>
      <c r="CG21" s="683"/>
      <c r="CH21" s="683"/>
      <c r="CI21" s="683"/>
      <c r="CJ21" s="683"/>
      <c r="CK21" s="683"/>
      <c r="CL21" s="683"/>
      <c r="CM21" s="683"/>
      <c r="CN21" s="683"/>
      <c r="CO21" s="683"/>
      <c r="CP21" s="683"/>
      <c r="CQ21" s="683"/>
      <c r="CR21" s="683"/>
      <c r="CS21" s="683"/>
      <c r="CT21" s="683"/>
      <c r="CU21" s="683"/>
      <c r="CV21" s="683"/>
      <c r="CW21" s="683"/>
      <c r="CX21" s="683"/>
      <c r="CY21" s="683"/>
      <c r="CZ21" s="683"/>
      <c r="DA21" s="683"/>
      <c r="DB21" s="683"/>
      <c r="DC21" s="683"/>
      <c r="DD21" s="683"/>
      <c r="DE21" s="683"/>
      <c r="DF21" s="683"/>
      <c r="DG21" s="683"/>
      <c r="DH21" s="683"/>
      <c r="DI21" s="683"/>
      <c r="DJ21" s="683"/>
      <c r="DK21" s="683"/>
      <c r="DL21" s="683"/>
      <c r="DM21" s="683"/>
      <c r="DN21" s="683"/>
      <c r="DO21" s="683"/>
      <c r="DP21" s="683"/>
      <c r="DQ21" s="683"/>
      <c r="DR21" s="683"/>
      <c r="DS21" s="683"/>
      <c r="DT21" s="683"/>
      <c r="DU21" s="683"/>
      <c r="DV21" s="683"/>
      <c r="DW21" s="683"/>
      <c r="DX21" s="683"/>
      <c r="DY21" s="683"/>
      <c r="DZ21" s="683"/>
      <c r="EA21" s="683"/>
      <c r="EB21" s="683"/>
      <c r="EC21" s="683"/>
      <c r="ED21" s="683"/>
      <c r="EE21" s="683"/>
      <c r="EF21" s="683"/>
      <c r="EG21" s="683"/>
      <c r="EH21" s="683"/>
      <c r="EI21" s="683"/>
      <c r="EJ21" s="683"/>
      <c r="EK21" s="683"/>
      <c r="EL21" s="683"/>
      <c r="EM21" s="683"/>
      <c r="EN21" s="683"/>
      <c r="EO21" s="683"/>
      <c r="EP21" s="683"/>
      <c r="EQ21" s="683"/>
      <c r="ER21" s="683"/>
      <c r="ES21" s="683"/>
      <c r="ET21" s="683"/>
      <c r="EU21" s="683"/>
      <c r="EV21" s="683"/>
      <c r="EW21" s="683"/>
      <c r="EX21" s="683"/>
      <c r="EY21" s="683"/>
      <c r="EZ21" s="683"/>
      <c r="FA21" s="683"/>
      <c r="FB21" s="683"/>
      <c r="FC21" s="683"/>
      <c r="FD21" s="683"/>
      <c r="FE21" s="683"/>
      <c r="FF21" s="683"/>
      <c r="FG21" s="683"/>
      <c r="FH21" s="683"/>
      <c r="FI21" s="683"/>
      <c r="FJ21" s="683"/>
      <c r="FK21" s="683"/>
      <c r="FL21" s="683"/>
      <c r="FM21" s="683"/>
      <c r="FN21" s="683"/>
      <c r="FO21" s="683"/>
      <c r="FP21" s="683"/>
      <c r="FQ21" s="683"/>
      <c r="FR21" s="683"/>
      <c r="FS21" s="683"/>
      <c r="FT21" s="683"/>
      <c r="FU21" s="683"/>
      <c r="FV21" s="683"/>
      <c r="FW21" s="683"/>
      <c r="FX21" s="683"/>
      <c r="FY21" s="683"/>
      <c r="FZ21" s="683"/>
      <c r="GA21" s="683"/>
      <c r="GB21" s="683"/>
      <c r="GC21" s="683"/>
      <c r="GD21" s="683"/>
      <c r="GE21" s="683"/>
      <c r="GF21" s="683"/>
      <c r="GG21" s="683"/>
      <c r="GH21" s="683"/>
      <c r="GI21" s="683"/>
      <c r="GJ21" s="683"/>
      <c r="GK21" s="683"/>
      <c r="GL21" s="683"/>
      <c r="GM21" s="683"/>
      <c r="GN21" s="683"/>
      <c r="GO21" s="683"/>
      <c r="GP21" s="683"/>
      <c r="GQ21" s="683"/>
      <c r="GR21" s="683"/>
      <c r="GS21" s="683"/>
      <c r="GT21" s="683"/>
      <c r="GU21" s="683"/>
      <c r="GV21" s="683"/>
      <c r="GW21" s="683"/>
      <c r="GX21" s="683"/>
      <c r="GY21" s="683"/>
      <c r="GZ21" s="683"/>
      <c r="HA21" s="683"/>
      <c r="HB21" s="683"/>
      <c r="HC21" s="683"/>
      <c r="HD21" s="683"/>
      <c r="HE21" s="683"/>
      <c r="HF21" s="683"/>
      <c r="HG21" s="683"/>
      <c r="HH21" s="683"/>
      <c r="HI21" s="683"/>
      <c r="HJ21" s="683"/>
      <c r="HK21" s="683"/>
      <c r="HL21" s="683"/>
      <c r="HM21" s="683"/>
      <c r="HN21" s="683"/>
      <c r="HO21" s="683"/>
      <c r="HP21" s="683"/>
      <c r="HQ21" s="683"/>
      <c r="HR21" s="683"/>
      <c r="HS21" s="683"/>
      <c r="HT21" s="683"/>
      <c r="HU21" s="683"/>
      <c r="HV21" s="683"/>
      <c r="HW21" s="683"/>
      <c r="HX21" s="683"/>
      <c r="HY21" s="683"/>
      <c r="HZ21" s="683"/>
      <c r="IA21" s="683"/>
      <c r="IB21" s="683"/>
      <c r="IC21" s="683"/>
      <c r="ID21" s="683"/>
      <c r="IE21" s="683"/>
      <c r="IF21" s="683"/>
      <c r="IG21" s="683"/>
      <c r="IH21" s="683"/>
      <c r="II21" s="683"/>
      <c r="IJ21" s="683"/>
      <c r="IK21" s="683"/>
      <c r="IL21" s="683"/>
      <c r="IM21" s="683"/>
      <c r="IN21" s="683"/>
      <c r="IO21" s="683"/>
      <c r="IP21" s="683"/>
      <c r="IQ21" s="683"/>
      <c r="IR21" s="683"/>
      <c r="IS21" s="683"/>
      <c r="IT21" s="683"/>
      <c r="IU21" s="683"/>
      <c r="IV21" s="683"/>
    </row>
    <row r="22" spans="1:256" ht="18.75">
      <c r="A22" s="674">
        <v>10</v>
      </c>
      <c r="B22" s="675" t="s">
        <v>223</v>
      </c>
      <c r="C22" s="676">
        <f t="shared" si="5"/>
        <v>8.1525568181818178E-2</v>
      </c>
      <c r="D22" s="677">
        <f>207891-64406</f>
        <v>143485</v>
      </c>
      <c r="E22" s="677"/>
      <c r="F22" s="677">
        <f t="shared" si="6"/>
        <v>6522.045454545454</v>
      </c>
      <c r="G22" s="677">
        <f t="shared" si="7"/>
        <v>150007.04545454544</v>
      </c>
      <c r="H22" s="677">
        <f t="shared" si="14"/>
        <v>111546.19102227093</v>
      </c>
      <c r="I22" s="677">
        <f t="shared" si="2"/>
        <v>111546.19102227093</v>
      </c>
      <c r="J22" s="677">
        <v>24213.191022270927</v>
      </c>
      <c r="K22" s="677">
        <v>26088</v>
      </c>
      <c r="L22" s="677">
        <v>25334</v>
      </c>
      <c r="M22" s="678">
        <v>35911</v>
      </c>
      <c r="N22" s="677"/>
      <c r="O22" s="677">
        <f t="shared" si="8"/>
        <v>38460.854432274515</v>
      </c>
      <c r="P22" s="685"/>
      <c r="Q22" s="680" t="e">
        <f>R22-#REF!</f>
        <v>#REF!</v>
      </c>
      <c r="R22" s="681">
        <f t="shared" si="3"/>
        <v>138348.88920454544</v>
      </c>
      <c r="S22" s="681">
        <f t="shared" si="4"/>
        <v>5136.1107954545587</v>
      </c>
      <c r="T22" s="682">
        <f t="shared" si="9"/>
        <v>62627.941477272725</v>
      </c>
      <c r="U22" s="683"/>
      <c r="V22" s="683"/>
      <c r="W22" s="683"/>
      <c r="X22" s="680">
        <f t="shared" si="10"/>
        <v>77726.47670454545</v>
      </c>
      <c r="Y22" s="680">
        <f t="shared" si="1"/>
        <v>-39265.622272270935</v>
      </c>
      <c r="Z22" s="677">
        <f t="shared" si="11"/>
        <v>236342.62215909091</v>
      </c>
      <c r="AA22" s="700">
        <f t="shared" si="12"/>
        <v>1.5755434782608697</v>
      </c>
      <c r="AB22" s="700">
        <f t="shared" si="13"/>
        <v>86335.57670454547</v>
      </c>
      <c r="AC22" s="683"/>
      <c r="AD22" s="683"/>
      <c r="AE22" s="683"/>
      <c r="AF22" s="683"/>
      <c r="AG22" s="683"/>
      <c r="AH22" s="683"/>
      <c r="AI22" s="683"/>
      <c r="AJ22" s="683"/>
      <c r="AK22" s="683"/>
      <c r="AL22" s="683"/>
      <c r="AM22" s="683"/>
      <c r="AN22" s="683"/>
      <c r="AO22" s="683"/>
      <c r="AP22" s="683"/>
      <c r="AQ22" s="683"/>
      <c r="AR22" s="683"/>
      <c r="AS22" s="683"/>
      <c r="AT22" s="683"/>
      <c r="AU22" s="683"/>
      <c r="AV22" s="683"/>
      <c r="AW22" s="683"/>
      <c r="AX22" s="683"/>
      <c r="AY22" s="683"/>
      <c r="AZ22" s="683"/>
      <c r="BA22" s="683"/>
      <c r="BB22" s="683"/>
      <c r="BC22" s="683"/>
      <c r="BD22" s="683"/>
      <c r="BE22" s="683"/>
      <c r="BF22" s="683"/>
      <c r="BG22" s="683"/>
      <c r="BH22" s="683"/>
      <c r="BI22" s="683"/>
      <c r="BJ22" s="683"/>
      <c r="BK22" s="683"/>
      <c r="BL22" s="683"/>
      <c r="BM22" s="683"/>
      <c r="BN22" s="683"/>
      <c r="BO22" s="683"/>
      <c r="BP22" s="683"/>
      <c r="BQ22" s="683"/>
      <c r="BR22" s="683"/>
      <c r="BS22" s="683"/>
      <c r="BT22" s="683"/>
      <c r="BU22" s="683"/>
      <c r="BV22" s="683"/>
      <c r="BW22" s="683"/>
      <c r="BX22" s="683"/>
      <c r="BY22" s="683"/>
      <c r="BZ22" s="683"/>
      <c r="CA22" s="683"/>
      <c r="CB22" s="683"/>
      <c r="CC22" s="683"/>
      <c r="CD22" s="683"/>
      <c r="CE22" s="683"/>
      <c r="CF22" s="683"/>
      <c r="CG22" s="683"/>
      <c r="CH22" s="683"/>
      <c r="CI22" s="683"/>
      <c r="CJ22" s="683"/>
      <c r="CK22" s="683"/>
      <c r="CL22" s="683"/>
      <c r="CM22" s="683"/>
      <c r="CN22" s="683"/>
      <c r="CO22" s="683"/>
      <c r="CP22" s="683"/>
      <c r="CQ22" s="683"/>
      <c r="CR22" s="683"/>
      <c r="CS22" s="683"/>
      <c r="CT22" s="683"/>
      <c r="CU22" s="683"/>
      <c r="CV22" s="683"/>
      <c r="CW22" s="683"/>
      <c r="CX22" s="683"/>
      <c r="CY22" s="683"/>
      <c r="CZ22" s="683"/>
      <c r="DA22" s="683"/>
      <c r="DB22" s="683"/>
      <c r="DC22" s="683"/>
      <c r="DD22" s="683"/>
      <c r="DE22" s="683"/>
      <c r="DF22" s="683"/>
      <c r="DG22" s="683"/>
      <c r="DH22" s="683"/>
      <c r="DI22" s="683"/>
      <c r="DJ22" s="683"/>
      <c r="DK22" s="683"/>
      <c r="DL22" s="683"/>
      <c r="DM22" s="683"/>
      <c r="DN22" s="683"/>
      <c r="DO22" s="683"/>
      <c r="DP22" s="683"/>
      <c r="DQ22" s="683"/>
      <c r="DR22" s="683"/>
      <c r="DS22" s="683"/>
      <c r="DT22" s="683"/>
      <c r="DU22" s="683"/>
      <c r="DV22" s="683"/>
      <c r="DW22" s="683"/>
      <c r="DX22" s="683"/>
      <c r="DY22" s="683"/>
      <c r="DZ22" s="683"/>
      <c r="EA22" s="683"/>
      <c r="EB22" s="683"/>
      <c r="EC22" s="683"/>
      <c r="ED22" s="683"/>
      <c r="EE22" s="683"/>
      <c r="EF22" s="683"/>
      <c r="EG22" s="683"/>
      <c r="EH22" s="683"/>
      <c r="EI22" s="683"/>
      <c r="EJ22" s="683"/>
      <c r="EK22" s="683"/>
      <c r="EL22" s="683"/>
      <c r="EM22" s="683"/>
      <c r="EN22" s="683"/>
      <c r="EO22" s="683"/>
      <c r="EP22" s="683"/>
      <c r="EQ22" s="683"/>
      <c r="ER22" s="683"/>
      <c r="ES22" s="683"/>
      <c r="ET22" s="683"/>
      <c r="EU22" s="683"/>
      <c r="EV22" s="683"/>
      <c r="EW22" s="683"/>
      <c r="EX22" s="683"/>
      <c r="EY22" s="683"/>
      <c r="EZ22" s="683"/>
      <c r="FA22" s="683"/>
      <c r="FB22" s="683"/>
      <c r="FC22" s="683"/>
      <c r="FD22" s="683"/>
      <c r="FE22" s="683"/>
      <c r="FF22" s="683"/>
      <c r="FG22" s="683"/>
      <c r="FH22" s="683"/>
      <c r="FI22" s="683"/>
      <c r="FJ22" s="683"/>
      <c r="FK22" s="683"/>
      <c r="FL22" s="683"/>
      <c r="FM22" s="683"/>
      <c r="FN22" s="683"/>
      <c r="FO22" s="683"/>
      <c r="FP22" s="683"/>
      <c r="FQ22" s="683"/>
      <c r="FR22" s="683"/>
      <c r="FS22" s="683"/>
      <c r="FT22" s="683"/>
      <c r="FU22" s="683"/>
      <c r="FV22" s="683"/>
      <c r="FW22" s="683"/>
      <c r="FX22" s="683"/>
      <c r="FY22" s="683"/>
      <c r="FZ22" s="683"/>
      <c r="GA22" s="683"/>
      <c r="GB22" s="683"/>
      <c r="GC22" s="683"/>
      <c r="GD22" s="683"/>
      <c r="GE22" s="683"/>
      <c r="GF22" s="683"/>
      <c r="GG22" s="683"/>
      <c r="GH22" s="683"/>
      <c r="GI22" s="683"/>
      <c r="GJ22" s="683"/>
      <c r="GK22" s="683"/>
      <c r="GL22" s="683"/>
      <c r="GM22" s="683"/>
      <c r="GN22" s="683"/>
      <c r="GO22" s="683"/>
      <c r="GP22" s="683"/>
      <c r="GQ22" s="683"/>
      <c r="GR22" s="683"/>
      <c r="GS22" s="683"/>
      <c r="GT22" s="683"/>
      <c r="GU22" s="683"/>
      <c r="GV22" s="683"/>
      <c r="GW22" s="683"/>
      <c r="GX22" s="683"/>
      <c r="GY22" s="683"/>
      <c r="GZ22" s="683"/>
      <c r="HA22" s="683"/>
      <c r="HB22" s="683"/>
      <c r="HC22" s="683"/>
      <c r="HD22" s="683"/>
      <c r="HE22" s="683"/>
      <c r="HF22" s="683"/>
      <c r="HG22" s="683"/>
      <c r="HH22" s="683"/>
      <c r="HI22" s="683"/>
      <c r="HJ22" s="683"/>
      <c r="HK22" s="683"/>
      <c r="HL22" s="683"/>
      <c r="HM22" s="683"/>
      <c r="HN22" s="683"/>
      <c r="HO22" s="683"/>
      <c r="HP22" s="683"/>
      <c r="HQ22" s="683"/>
      <c r="HR22" s="683"/>
      <c r="HS22" s="683"/>
      <c r="HT22" s="683"/>
      <c r="HU22" s="683"/>
      <c r="HV22" s="683"/>
      <c r="HW22" s="683"/>
      <c r="HX22" s="683"/>
      <c r="HY22" s="683"/>
      <c r="HZ22" s="683"/>
      <c r="IA22" s="683"/>
      <c r="IB22" s="683"/>
      <c r="IC22" s="683"/>
      <c r="ID22" s="683"/>
      <c r="IE22" s="683"/>
      <c r="IF22" s="683"/>
      <c r="IG22" s="683"/>
      <c r="IH22" s="683"/>
      <c r="II22" s="683"/>
      <c r="IJ22" s="683"/>
      <c r="IK22" s="683"/>
      <c r="IL22" s="683"/>
      <c r="IM22" s="683"/>
      <c r="IN22" s="683"/>
      <c r="IO22" s="683"/>
      <c r="IP22" s="683"/>
      <c r="IQ22" s="683"/>
      <c r="IR22" s="683"/>
      <c r="IS22" s="683"/>
      <c r="IT22" s="683"/>
      <c r="IU22" s="683"/>
      <c r="IV22" s="683"/>
    </row>
    <row r="23" spans="1:256" ht="18.75">
      <c r="A23" s="674">
        <v>11</v>
      </c>
      <c r="B23" s="675" t="s">
        <v>221</v>
      </c>
      <c r="C23" s="676">
        <f t="shared" si="5"/>
        <v>4.0668181818181819E-2</v>
      </c>
      <c r="D23" s="677">
        <f>103703-32127</f>
        <v>71576</v>
      </c>
      <c r="E23" s="677"/>
      <c r="F23" s="677">
        <f t="shared" si="6"/>
        <v>3253.4545454545455</v>
      </c>
      <c r="G23" s="677">
        <f t="shared" si="7"/>
        <v>74829.454545454544</v>
      </c>
      <c r="H23" s="677">
        <f t="shared" si="14"/>
        <v>55643.331590296286</v>
      </c>
      <c r="I23" s="677">
        <f t="shared" si="2"/>
        <v>55643.331590296286</v>
      </c>
      <c r="J23" s="677">
        <v>12078.331590296288</v>
      </c>
      <c r="K23" s="677">
        <v>13014</v>
      </c>
      <c r="L23" s="677">
        <v>12638</v>
      </c>
      <c r="M23" s="678">
        <v>17913</v>
      </c>
      <c r="N23" s="677"/>
      <c r="O23" s="677">
        <f t="shared" si="8"/>
        <v>19186.122955158258</v>
      </c>
      <c r="P23" s="679"/>
      <c r="Q23" s="680" t="e">
        <f>R23-#REF!</f>
        <v>#REF!</v>
      </c>
      <c r="R23" s="681">
        <f t="shared" si="3"/>
        <v>69013.904545454541</v>
      </c>
      <c r="S23" s="681">
        <f t="shared" si="4"/>
        <v>2562.0954545454588</v>
      </c>
      <c r="T23" s="682">
        <f t="shared" si="9"/>
        <v>31241.297272727272</v>
      </c>
      <c r="U23" s="683"/>
      <c r="V23" s="683"/>
      <c r="W23" s="683"/>
      <c r="X23" s="680">
        <f t="shared" si="10"/>
        <v>38773.044545454548</v>
      </c>
      <c r="Y23" s="680">
        <f t="shared" si="1"/>
        <v>-19586.92159029629</v>
      </c>
      <c r="Z23" s="677">
        <f t="shared" si="11"/>
        <v>117897.0590909091</v>
      </c>
      <c r="AA23" s="700">
        <f t="shared" si="12"/>
        <v>1.5755434782608697</v>
      </c>
      <c r="AB23" s="700">
        <f t="shared" si="13"/>
        <v>43067.604545454553</v>
      </c>
      <c r="AC23" s="683"/>
      <c r="AD23" s="683"/>
      <c r="AE23" s="683"/>
      <c r="AF23" s="683"/>
      <c r="AG23" s="683"/>
      <c r="AH23" s="683"/>
      <c r="AI23" s="683"/>
      <c r="AJ23" s="683"/>
      <c r="AK23" s="683"/>
      <c r="AL23" s="683"/>
      <c r="AM23" s="683"/>
      <c r="AN23" s="683"/>
      <c r="AO23" s="683"/>
      <c r="AP23" s="683"/>
      <c r="AQ23" s="683"/>
      <c r="AR23" s="683"/>
      <c r="AS23" s="683"/>
      <c r="AT23" s="683"/>
      <c r="AU23" s="683"/>
      <c r="AV23" s="683"/>
      <c r="AW23" s="683"/>
      <c r="AX23" s="683"/>
      <c r="AY23" s="683"/>
      <c r="AZ23" s="683"/>
      <c r="BA23" s="683"/>
      <c r="BB23" s="683"/>
      <c r="BC23" s="683"/>
      <c r="BD23" s="683"/>
      <c r="BE23" s="683"/>
      <c r="BF23" s="683"/>
      <c r="BG23" s="683"/>
      <c r="BH23" s="683"/>
      <c r="BI23" s="683"/>
      <c r="BJ23" s="683"/>
      <c r="BK23" s="683"/>
      <c r="BL23" s="683"/>
      <c r="BM23" s="683"/>
      <c r="BN23" s="683"/>
      <c r="BO23" s="683"/>
      <c r="BP23" s="683"/>
      <c r="BQ23" s="683"/>
      <c r="BR23" s="683"/>
      <c r="BS23" s="683"/>
      <c r="BT23" s="683"/>
      <c r="BU23" s="683"/>
      <c r="BV23" s="683"/>
      <c r="BW23" s="683"/>
      <c r="BX23" s="683"/>
      <c r="BY23" s="683"/>
      <c r="BZ23" s="683"/>
      <c r="CA23" s="683"/>
      <c r="CB23" s="683"/>
      <c r="CC23" s="683"/>
      <c r="CD23" s="683"/>
      <c r="CE23" s="683"/>
      <c r="CF23" s="683"/>
      <c r="CG23" s="683"/>
      <c r="CH23" s="683"/>
      <c r="CI23" s="683"/>
      <c r="CJ23" s="683"/>
      <c r="CK23" s="683"/>
      <c r="CL23" s="683"/>
      <c r="CM23" s="683"/>
      <c r="CN23" s="683"/>
      <c r="CO23" s="683"/>
      <c r="CP23" s="683"/>
      <c r="CQ23" s="683"/>
      <c r="CR23" s="683"/>
      <c r="CS23" s="683"/>
      <c r="CT23" s="683"/>
      <c r="CU23" s="683"/>
      <c r="CV23" s="683"/>
      <c r="CW23" s="683"/>
      <c r="CX23" s="683"/>
      <c r="CY23" s="683"/>
      <c r="CZ23" s="683"/>
      <c r="DA23" s="683"/>
      <c r="DB23" s="683"/>
      <c r="DC23" s="683"/>
      <c r="DD23" s="683"/>
      <c r="DE23" s="683"/>
      <c r="DF23" s="683"/>
      <c r="DG23" s="683"/>
      <c r="DH23" s="683"/>
      <c r="DI23" s="683"/>
      <c r="DJ23" s="683"/>
      <c r="DK23" s="683"/>
      <c r="DL23" s="683"/>
      <c r="DM23" s="683"/>
      <c r="DN23" s="683"/>
      <c r="DO23" s="683"/>
      <c r="DP23" s="683"/>
      <c r="DQ23" s="683"/>
      <c r="DR23" s="683"/>
      <c r="DS23" s="683"/>
      <c r="DT23" s="683"/>
      <c r="DU23" s="683"/>
      <c r="DV23" s="683"/>
      <c r="DW23" s="683"/>
      <c r="DX23" s="683"/>
      <c r="DY23" s="683"/>
      <c r="DZ23" s="683"/>
      <c r="EA23" s="683"/>
      <c r="EB23" s="683"/>
      <c r="EC23" s="683"/>
      <c r="ED23" s="683"/>
      <c r="EE23" s="683"/>
      <c r="EF23" s="683"/>
      <c r="EG23" s="683"/>
      <c r="EH23" s="683"/>
      <c r="EI23" s="683"/>
      <c r="EJ23" s="683"/>
      <c r="EK23" s="683"/>
      <c r="EL23" s="683"/>
      <c r="EM23" s="683"/>
      <c r="EN23" s="683"/>
      <c r="EO23" s="683"/>
      <c r="EP23" s="683"/>
      <c r="EQ23" s="683"/>
      <c r="ER23" s="683"/>
      <c r="ES23" s="683"/>
      <c r="ET23" s="683"/>
      <c r="EU23" s="683"/>
      <c r="EV23" s="683"/>
      <c r="EW23" s="683"/>
      <c r="EX23" s="683"/>
      <c r="EY23" s="683"/>
      <c r="EZ23" s="683"/>
      <c r="FA23" s="683"/>
      <c r="FB23" s="683"/>
      <c r="FC23" s="683"/>
      <c r="FD23" s="683"/>
      <c r="FE23" s="683"/>
      <c r="FF23" s="683"/>
      <c r="FG23" s="683"/>
      <c r="FH23" s="683"/>
      <c r="FI23" s="683"/>
      <c r="FJ23" s="683"/>
      <c r="FK23" s="683"/>
      <c r="FL23" s="683"/>
      <c r="FM23" s="683"/>
      <c r="FN23" s="683"/>
      <c r="FO23" s="683"/>
      <c r="FP23" s="683"/>
      <c r="FQ23" s="683"/>
      <c r="FR23" s="683"/>
      <c r="FS23" s="683"/>
      <c r="FT23" s="683"/>
      <c r="FU23" s="683"/>
      <c r="FV23" s="683"/>
      <c r="FW23" s="683"/>
      <c r="FX23" s="683"/>
      <c r="FY23" s="683"/>
      <c r="FZ23" s="683"/>
      <c r="GA23" s="683"/>
      <c r="GB23" s="683"/>
      <c r="GC23" s="683"/>
      <c r="GD23" s="683"/>
      <c r="GE23" s="683"/>
      <c r="GF23" s="683"/>
      <c r="GG23" s="683"/>
      <c r="GH23" s="683"/>
      <c r="GI23" s="683"/>
      <c r="GJ23" s="683"/>
      <c r="GK23" s="683"/>
      <c r="GL23" s="683"/>
      <c r="GM23" s="683"/>
      <c r="GN23" s="683"/>
      <c r="GO23" s="683"/>
      <c r="GP23" s="683"/>
      <c r="GQ23" s="683"/>
      <c r="GR23" s="683"/>
      <c r="GS23" s="683"/>
      <c r="GT23" s="683"/>
      <c r="GU23" s="683"/>
      <c r="GV23" s="683"/>
      <c r="GW23" s="683"/>
      <c r="GX23" s="683"/>
      <c r="GY23" s="683"/>
      <c r="GZ23" s="683"/>
      <c r="HA23" s="683"/>
      <c r="HB23" s="683"/>
      <c r="HC23" s="683"/>
      <c r="HD23" s="683"/>
      <c r="HE23" s="683"/>
      <c r="HF23" s="683"/>
      <c r="HG23" s="683"/>
      <c r="HH23" s="683"/>
      <c r="HI23" s="683"/>
      <c r="HJ23" s="683"/>
      <c r="HK23" s="683"/>
      <c r="HL23" s="683"/>
      <c r="HM23" s="683"/>
      <c r="HN23" s="683"/>
      <c r="HO23" s="683"/>
      <c r="HP23" s="683"/>
      <c r="HQ23" s="683"/>
      <c r="HR23" s="683"/>
      <c r="HS23" s="683"/>
      <c r="HT23" s="683"/>
      <c r="HU23" s="683"/>
      <c r="HV23" s="683"/>
      <c r="HW23" s="683"/>
      <c r="HX23" s="683"/>
      <c r="HY23" s="683"/>
      <c r="HZ23" s="683"/>
      <c r="IA23" s="683"/>
      <c r="IB23" s="683"/>
      <c r="IC23" s="683"/>
      <c r="ID23" s="683"/>
      <c r="IE23" s="683"/>
      <c r="IF23" s="683"/>
      <c r="IG23" s="683"/>
      <c r="IH23" s="683"/>
      <c r="II23" s="683"/>
      <c r="IJ23" s="683"/>
      <c r="IK23" s="683"/>
      <c r="IL23" s="683"/>
      <c r="IM23" s="683"/>
      <c r="IN23" s="683"/>
      <c r="IO23" s="683"/>
      <c r="IP23" s="683"/>
      <c r="IQ23" s="683"/>
      <c r="IR23" s="683"/>
      <c r="IS23" s="683"/>
      <c r="IT23" s="683"/>
      <c r="IU23" s="683"/>
      <c r="IV23" s="683"/>
    </row>
    <row r="24" spans="1:256" ht="18.75">
      <c r="A24" s="674">
        <v>12</v>
      </c>
      <c r="B24" s="675" t="s">
        <v>219</v>
      </c>
      <c r="C24" s="676">
        <f t="shared" si="5"/>
        <v>7.7902272727272723E-2</v>
      </c>
      <c r="D24" s="677">
        <f>198650-61542</f>
        <v>137108</v>
      </c>
      <c r="E24" s="677"/>
      <c r="F24" s="677">
        <f t="shared" si="6"/>
        <v>6232.181818181818</v>
      </c>
      <c r="G24" s="677">
        <f t="shared" si="7"/>
        <v>143340.18181818182</v>
      </c>
      <c r="H24" s="677">
        <f t="shared" si="14"/>
        <v>106588.9</v>
      </c>
      <c r="I24" s="677">
        <f t="shared" si="2"/>
        <v>106588.9</v>
      </c>
      <c r="J24" s="677">
        <v>23136.9</v>
      </c>
      <c r="K24" s="677">
        <v>24929</v>
      </c>
      <c r="L24" s="677">
        <v>24208</v>
      </c>
      <c r="M24" s="678">
        <v>34315</v>
      </c>
      <c r="N24" s="677"/>
      <c r="O24" s="677">
        <f t="shared" si="8"/>
        <v>36751.281818181829</v>
      </c>
      <c r="P24" s="685"/>
      <c r="Q24" s="680" t="e">
        <f>R24-#REF!</f>
        <v>#REF!</v>
      </c>
      <c r="R24" s="681">
        <f t="shared" si="3"/>
        <v>132200.1568181818</v>
      </c>
      <c r="S24" s="681">
        <f t="shared" si="4"/>
        <v>4907.8431818181998</v>
      </c>
      <c r="T24" s="682">
        <f t="shared" si="9"/>
        <v>59844.525909090902</v>
      </c>
      <c r="U24" s="683"/>
      <c r="V24" s="683"/>
      <c r="W24" s="683"/>
      <c r="X24" s="680">
        <f t="shared" si="10"/>
        <v>74272.02681818181</v>
      </c>
      <c r="Y24" s="680">
        <f t="shared" si="1"/>
        <v>-37520.744999999981</v>
      </c>
      <c r="Z24" s="677">
        <f t="shared" si="11"/>
        <v>225838.68863636363</v>
      </c>
      <c r="AA24" s="700">
        <f t="shared" si="12"/>
        <v>1.5755434782608695</v>
      </c>
      <c r="AB24" s="700">
        <f t="shared" si="13"/>
        <v>82498.506818181806</v>
      </c>
      <c r="AC24" s="683"/>
      <c r="AD24" s="683"/>
      <c r="AE24" s="683"/>
      <c r="AF24" s="683"/>
      <c r="AG24" s="683"/>
      <c r="AH24" s="683"/>
      <c r="AI24" s="683"/>
      <c r="AJ24" s="683"/>
      <c r="AK24" s="683"/>
      <c r="AL24" s="683"/>
      <c r="AM24" s="683"/>
      <c r="AN24" s="683"/>
      <c r="AO24" s="683"/>
      <c r="AP24" s="683"/>
      <c r="AQ24" s="683"/>
      <c r="AR24" s="683"/>
      <c r="AS24" s="683"/>
      <c r="AT24" s="683"/>
      <c r="AU24" s="683"/>
      <c r="AV24" s="683"/>
      <c r="AW24" s="683"/>
      <c r="AX24" s="683"/>
      <c r="AY24" s="683"/>
      <c r="AZ24" s="683"/>
      <c r="BA24" s="683"/>
      <c r="BB24" s="683"/>
      <c r="BC24" s="683"/>
      <c r="BD24" s="683"/>
      <c r="BE24" s="683"/>
      <c r="BF24" s="683"/>
      <c r="BG24" s="683"/>
      <c r="BH24" s="683"/>
      <c r="BI24" s="683"/>
      <c r="BJ24" s="683"/>
      <c r="BK24" s="683"/>
      <c r="BL24" s="683"/>
      <c r="BM24" s="683"/>
      <c r="BN24" s="683"/>
      <c r="BO24" s="683"/>
      <c r="BP24" s="683"/>
      <c r="BQ24" s="683"/>
      <c r="BR24" s="683"/>
      <c r="BS24" s="683"/>
      <c r="BT24" s="683"/>
      <c r="BU24" s="683"/>
      <c r="BV24" s="683"/>
      <c r="BW24" s="683"/>
      <c r="BX24" s="683"/>
      <c r="BY24" s="683"/>
      <c r="BZ24" s="683"/>
      <c r="CA24" s="683"/>
      <c r="CB24" s="683"/>
      <c r="CC24" s="683"/>
      <c r="CD24" s="683"/>
      <c r="CE24" s="683"/>
      <c r="CF24" s="683"/>
      <c r="CG24" s="683"/>
      <c r="CH24" s="683"/>
      <c r="CI24" s="683"/>
      <c r="CJ24" s="683"/>
      <c r="CK24" s="683"/>
      <c r="CL24" s="683"/>
      <c r="CM24" s="683"/>
      <c r="CN24" s="683"/>
      <c r="CO24" s="683"/>
      <c r="CP24" s="683"/>
      <c r="CQ24" s="683"/>
      <c r="CR24" s="683"/>
      <c r="CS24" s="683"/>
      <c r="CT24" s="683"/>
      <c r="CU24" s="683"/>
      <c r="CV24" s="683"/>
      <c r="CW24" s="683"/>
      <c r="CX24" s="683"/>
      <c r="CY24" s="683"/>
      <c r="CZ24" s="683"/>
      <c r="DA24" s="683"/>
      <c r="DB24" s="683"/>
      <c r="DC24" s="683"/>
      <c r="DD24" s="683"/>
      <c r="DE24" s="683"/>
      <c r="DF24" s="683"/>
      <c r="DG24" s="683"/>
      <c r="DH24" s="683"/>
      <c r="DI24" s="683"/>
      <c r="DJ24" s="683"/>
      <c r="DK24" s="683"/>
      <c r="DL24" s="683"/>
      <c r="DM24" s="683"/>
      <c r="DN24" s="683"/>
      <c r="DO24" s="683"/>
      <c r="DP24" s="683"/>
      <c r="DQ24" s="683"/>
      <c r="DR24" s="683"/>
      <c r="DS24" s="683"/>
      <c r="DT24" s="683"/>
      <c r="DU24" s="683"/>
      <c r="DV24" s="683"/>
      <c r="DW24" s="683"/>
      <c r="DX24" s="683"/>
      <c r="DY24" s="683"/>
      <c r="DZ24" s="683"/>
      <c r="EA24" s="683"/>
      <c r="EB24" s="683"/>
      <c r="EC24" s="683"/>
      <c r="ED24" s="683"/>
      <c r="EE24" s="683"/>
      <c r="EF24" s="683"/>
      <c r="EG24" s="683"/>
      <c r="EH24" s="683"/>
      <c r="EI24" s="683"/>
      <c r="EJ24" s="683"/>
      <c r="EK24" s="683"/>
      <c r="EL24" s="683"/>
      <c r="EM24" s="683"/>
      <c r="EN24" s="683"/>
      <c r="EO24" s="683"/>
      <c r="EP24" s="683"/>
      <c r="EQ24" s="683"/>
      <c r="ER24" s="683"/>
      <c r="ES24" s="683"/>
      <c r="ET24" s="683"/>
      <c r="EU24" s="683"/>
      <c r="EV24" s="683"/>
      <c r="EW24" s="683"/>
      <c r="EX24" s="683"/>
      <c r="EY24" s="683"/>
      <c r="EZ24" s="683"/>
      <c r="FA24" s="683"/>
      <c r="FB24" s="683"/>
      <c r="FC24" s="683"/>
      <c r="FD24" s="683"/>
      <c r="FE24" s="683"/>
      <c r="FF24" s="683"/>
      <c r="FG24" s="683"/>
      <c r="FH24" s="683"/>
      <c r="FI24" s="683"/>
      <c r="FJ24" s="683"/>
      <c r="FK24" s="683"/>
      <c r="FL24" s="683"/>
      <c r="FM24" s="683"/>
      <c r="FN24" s="683"/>
      <c r="FO24" s="683"/>
      <c r="FP24" s="683"/>
      <c r="FQ24" s="683"/>
      <c r="FR24" s="683"/>
      <c r="FS24" s="683"/>
      <c r="FT24" s="683"/>
      <c r="FU24" s="683"/>
      <c r="FV24" s="683"/>
      <c r="FW24" s="683"/>
      <c r="FX24" s="683"/>
      <c r="FY24" s="683"/>
      <c r="FZ24" s="683"/>
      <c r="GA24" s="683"/>
      <c r="GB24" s="683"/>
      <c r="GC24" s="683"/>
      <c r="GD24" s="683"/>
      <c r="GE24" s="683"/>
      <c r="GF24" s="683"/>
      <c r="GG24" s="683"/>
      <c r="GH24" s="683"/>
      <c r="GI24" s="683"/>
      <c r="GJ24" s="683"/>
      <c r="GK24" s="683"/>
      <c r="GL24" s="683"/>
      <c r="GM24" s="683"/>
      <c r="GN24" s="683"/>
      <c r="GO24" s="683"/>
      <c r="GP24" s="683"/>
      <c r="GQ24" s="683"/>
      <c r="GR24" s="683"/>
      <c r="GS24" s="683"/>
      <c r="GT24" s="683"/>
      <c r="GU24" s="683"/>
      <c r="GV24" s="683"/>
      <c r="GW24" s="683"/>
      <c r="GX24" s="683"/>
      <c r="GY24" s="683"/>
      <c r="GZ24" s="683"/>
      <c r="HA24" s="683"/>
      <c r="HB24" s="683"/>
      <c r="HC24" s="683"/>
      <c r="HD24" s="683"/>
      <c r="HE24" s="683"/>
      <c r="HF24" s="683"/>
      <c r="HG24" s="683"/>
      <c r="HH24" s="683"/>
      <c r="HI24" s="683"/>
      <c r="HJ24" s="683"/>
      <c r="HK24" s="683"/>
      <c r="HL24" s="683"/>
      <c r="HM24" s="683"/>
      <c r="HN24" s="683"/>
      <c r="HO24" s="683"/>
      <c r="HP24" s="683"/>
      <c r="HQ24" s="683"/>
      <c r="HR24" s="683"/>
      <c r="HS24" s="683"/>
      <c r="HT24" s="683"/>
      <c r="HU24" s="683"/>
      <c r="HV24" s="683"/>
      <c r="HW24" s="683"/>
      <c r="HX24" s="683"/>
      <c r="HY24" s="683"/>
      <c r="HZ24" s="683"/>
      <c r="IA24" s="683"/>
      <c r="IB24" s="683"/>
      <c r="IC24" s="683"/>
      <c r="ID24" s="683"/>
      <c r="IE24" s="683"/>
      <c r="IF24" s="683"/>
      <c r="IG24" s="683"/>
      <c r="IH24" s="683"/>
      <c r="II24" s="683"/>
      <c r="IJ24" s="683"/>
      <c r="IK24" s="683"/>
      <c r="IL24" s="683"/>
      <c r="IM24" s="683"/>
      <c r="IN24" s="683"/>
      <c r="IO24" s="683"/>
      <c r="IP24" s="683"/>
      <c r="IQ24" s="683"/>
      <c r="IR24" s="683"/>
      <c r="IS24" s="683"/>
      <c r="IT24" s="683"/>
      <c r="IU24" s="683"/>
      <c r="IV24" s="683"/>
    </row>
    <row r="25" spans="1:256" ht="18.75">
      <c r="A25" s="674">
        <v>13</v>
      </c>
      <c r="B25" s="675" t="s">
        <v>539</v>
      </c>
      <c r="C25" s="676">
        <f t="shared" si="5"/>
        <v>2.5606818181818182E-2</v>
      </c>
      <c r="D25" s="677">
        <f>65298-20230</f>
        <v>45068</v>
      </c>
      <c r="E25" s="677"/>
      <c r="F25" s="677">
        <f t="shared" si="6"/>
        <v>2048.5454545454545</v>
      </c>
      <c r="G25" s="677">
        <f t="shared" si="7"/>
        <v>47116.545454545456</v>
      </c>
      <c r="H25" s="677">
        <f t="shared" si="14"/>
        <v>35035.245463059851</v>
      </c>
      <c r="I25" s="677">
        <f t="shared" si="2"/>
        <v>35035.245463059851</v>
      </c>
      <c r="J25" s="677">
        <v>7605.2454630598504</v>
      </c>
      <c r="K25" s="677">
        <v>8194</v>
      </c>
      <c r="L25" s="677">
        <v>7957</v>
      </c>
      <c r="M25" s="678">
        <v>11279</v>
      </c>
      <c r="N25" s="677"/>
      <c r="O25" s="677">
        <f t="shared" si="8"/>
        <v>12081.299991485605</v>
      </c>
      <c r="P25" s="679"/>
      <c r="Q25" s="680" t="e">
        <f>R25-#REF!</f>
        <v>#REF!</v>
      </c>
      <c r="R25" s="681">
        <f t="shared" si="3"/>
        <v>43454.770454545454</v>
      </c>
      <c r="S25" s="681">
        <f t="shared" si="4"/>
        <v>1613.2295454545456</v>
      </c>
      <c r="T25" s="682">
        <f t="shared" si="9"/>
        <v>19671.157727272726</v>
      </c>
      <c r="U25" s="683"/>
      <c r="V25" s="683"/>
      <c r="W25" s="683"/>
      <c r="X25" s="680">
        <f t="shared" si="10"/>
        <v>24413.540454545455</v>
      </c>
      <c r="Y25" s="680">
        <f t="shared" si="1"/>
        <v>-12332.24046305985</v>
      </c>
      <c r="Z25" s="677">
        <f t="shared" si="11"/>
        <v>74234.165909090909</v>
      </c>
      <c r="AA25" s="700">
        <f t="shared" si="12"/>
        <v>1.5755434782608695</v>
      </c>
      <c r="AB25" s="700">
        <f t="shared" si="13"/>
        <v>27117.620454545453</v>
      </c>
      <c r="AC25" s="683"/>
      <c r="AD25" s="683"/>
      <c r="AE25" s="683"/>
      <c r="AF25" s="683"/>
      <c r="AG25" s="683"/>
      <c r="AH25" s="683"/>
      <c r="AI25" s="683"/>
      <c r="AJ25" s="683"/>
      <c r="AK25" s="683"/>
      <c r="AL25" s="683"/>
      <c r="AM25" s="683"/>
      <c r="AN25" s="683"/>
      <c r="AO25" s="683"/>
      <c r="AP25" s="683"/>
      <c r="AQ25" s="683"/>
      <c r="AR25" s="683"/>
      <c r="AS25" s="683"/>
      <c r="AT25" s="683"/>
      <c r="AU25" s="683"/>
      <c r="AV25" s="683"/>
      <c r="AW25" s="683"/>
      <c r="AX25" s="683"/>
      <c r="AY25" s="683"/>
      <c r="AZ25" s="683"/>
      <c r="BA25" s="683"/>
      <c r="BB25" s="683"/>
      <c r="BC25" s="683"/>
      <c r="BD25" s="683"/>
      <c r="BE25" s="683"/>
      <c r="BF25" s="683"/>
      <c r="BG25" s="683"/>
      <c r="BH25" s="683"/>
      <c r="BI25" s="683"/>
      <c r="BJ25" s="683"/>
      <c r="BK25" s="683"/>
      <c r="BL25" s="683"/>
      <c r="BM25" s="683"/>
      <c r="BN25" s="683"/>
      <c r="BO25" s="683"/>
      <c r="BP25" s="683"/>
      <c r="BQ25" s="683"/>
      <c r="BR25" s="683"/>
      <c r="BS25" s="683"/>
      <c r="BT25" s="683"/>
      <c r="BU25" s="683"/>
      <c r="BV25" s="683"/>
      <c r="BW25" s="683"/>
      <c r="BX25" s="683"/>
      <c r="BY25" s="683"/>
      <c r="BZ25" s="683"/>
      <c r="CA25" s="683"/>
      <c r="CB25" s="683"/>
      <c r="CC25" s="683"/>
      <c r="CD25" s="683"/>
      <c r="CE25" s="683"/>
      <c r="CF25" s="683"/>
      <c r="CG25" s="683"/>
      <c r="CH25" s="683"/>
      <c r="CI25" s="683"/>
      <c r="CJ25" s="683"/>
      <c r="CK25" s="683"/>
      <c r="CL25" s="683"/>
      <c r="CM25" s="683"/>
      <c r="CN25" s="683"/>
      <c r="CO25" s="683"/>
      <c r="CP25" s="683"/>
      <c r="CQ25" s="683"/>
      <c r="CR25" s="683"/>
      <c r="CS25" s="683"/>
      <c r="CT25" s="683"/>
      <c r="CU25" s="683"/>
      <c r="CV25" s="683"/>
      <c r="CW25" s="683"/>
      <c r="CX25" s="683"/>
      <c r="CY25" s="683"/>
      <c r="CZ25" s="683"/>
      <c r="DA25" s="683"/>
      <c r="DB25" s="683"/>
      <c r="DC25" s="683"/>
      <c r="DD25" s="683"/>
      <c r="DE25" s="683"/>
      <c r="DF25" s="683"/>
      <c r="DG25" s="683"/>
      <c r="DH25" s="683"/>
      <c r="DI25" s="683"/>
      <c r="DJ25" s="683"/>
      <c r="DK25" s="683"/>
      <c r="DL25" s="683"/>
      <c r="DM25" s="683"/>
      <c r="DN25" s="683"/>
      <c r="DO25" s="683"/>
      <c r="DP25" s="683"/>
      <c r="DQ25" s="683"/>
      <c r="DR25" s="683"/>
      <c r="DS25" s="683"/>
      <c r="DT25" s="683"/>
      <c r="DU25" s="683"/>
      <c r="DV25" s="683"/>
      <c r="DW25" s="683"/>
      <c r="DX25" s="683"/>
      <c r="DY25" s="683"/>
      <c r="DZ25" s="683"/>
      <c r="EA25" s="683"/>
      <c r="EB25" s="683"/>
      <c r="EC25" s="683"/>
      <c r="ED25" s="683"/>
      <c r="EE25" s="683"/>
      <c r="EF25" s="683"/>
      <c r="EG25" s="683"/>
      <c r="EH25" s="683"/>
      <c r="EI25" s="683"/>
      <c r="EJ25" s="683"/>
      <c r="EK25" s="683"/>
      <c r="EL25" s="683"/>
      <c r="EM25" s="683"/>
      <c r="EN25" s="683"/>
      <c r="EO25" s="683"/>
      <c r="EP25" s="683"/>
      <c r="EQ25" s="683"/>
      <c r="ER25" s="683"/>
      <c r="ES25" s="683"/>
      <c r="ET25" s="683"/>
      <c r="EU25" s="683"/>
      <c r="EV25" s="683"/>
      <c r="EW25" s="683"/>
      <c r="EX25" s="683"/>
      <c r="EY25" s="683"/>
      <c r="EZ25" s="683"/>
      <c r="FA25" s="683"/>
      <c r="FB25" s="683"/>
      <c r="FC25" s="683"/>
      <c r="FD25" s="683"/>
      <c r="FE25" s="683"/>
      <c r="FF25" s="683"/>
      <c r="FG25" s="683"/>
      <c r="FH25" s="683"/>
      <c r="FI25" s="683"/>
      <c r="FJ25" s="683"/>
      <c r="FK25" s="683"/>
      <c r="FL25" s="683"/>
      <c r="FM25" s="683"/>
      <c r="FN25" s="683"/>
      <c r="FO25" s="683"/>
      <c r="FP25" s="683"/>
      <c r="FQ25" s="683"/>
      <c r="FR25" s="683"/>
      <c r="FS25" s="683"/>
      <c r="FT25" s="683"/>
      <c r="FU25" s="683"/>
      <c r="FV25" s="683"/>
      <c r="FW25" s="683"/>
      <c r="FX25" s="683"/>
      <c r="FY25" s="683"/>
      <c r="FZ25" s="683"/>
      <c r="GA25" s="683"/>
      <c r="GB25" s="683"/>
      <c r="GC25" s="683"/>
      <c r="GD25" s="683"/>
      <c r="GE25" s="683"/>
      <c r="GF25" s="683"/>
      <c r="GG25" s="683"/>
      <c r="GH25" s="683"/>
      <c r="GI25" s="683"/>
      <c r="GJ25" s="683"/>
      <c r="GK25" s="683"/>
      <c r="GL25" s="683"/>
      <c r="GM25" s="683"/>
      <c r="GN25" s="683"/>
      <c r="GO25" s="683"/>
      <c r="GP25" s="683"/>
      <c r="GQ25" s="683"/>
      <c r="GR25" s="683"/>
      <c r="GS25" s="683"/>
      <c r="GT25" s="683"/>
      <c r="GU25" s="683"/>
      <c r="GV25" s="683"/>
      <c r="GW25" s="683"/>
      <c r="GX25" s="683"/>
      <c r="GY25" s="683"/>
      <c r="GZ25" s="683"/>
      <c r="HA25" s="683"/>
      <c r="HB25" s="683"/>
      <c r="HC25" s="683"/>
      <c r="HD25" s="683"/>
      <c r="HE25" s="683"/>
      <c r="HF25" s="683"/>
      <c r="HG25" s="683"/>
      <c r="HH25" s="683"/>
      <c r="HI25" s="683"/>
      <c r="HJ25" s="683"/>
      <c r="HK25" s="683"/>
      <c r="HL25" s="683"/>
      <c r="HM25" s="683"/>
      <c r="HN25" s="683"/>
      <c r="HO25" s="683"/>
      <c r="HP25" s="683"/>
      <c r="HQ25" s="683"/>
      <c r="HR25" s="683"/>
      <c r="HS25" s="683"/>
      <c r="HT25" s="683"/>
      <c r="HU25" s="683"/>
      <c r="HV25" s="683"/>
      <c r="HW25" s="683"/>
      <c r="HX25" s="683"/>
      <c r="HY25" s="683"/>
      <c r="HZ25" s="683"/>
      <c r="IA25" s="683"/>
      <c r="IB25" s="683"/>
      <c r="IC25" s="683"/>
      <c r="ID25" s="683"/>
      <c r="IE25" s="683"/>
      <c r="IF25" s="683"/>
      <c r="IG25" s="683"/>
      <c r="IH25" s="683"/>
      <c r="II25" s="683"/>
      <c r="IJ25" s="683"/>
      <c r="IK25" s="683"/>
      <c r="IL25" s="683"/>
      <c r="IM25" s="683"/>
      <c r="IN25" s="683"/>
      <c r="IO25" s="683"/>
      <c r="IP25" s="683"/>
      <c r="IQ25" s="683"/>
      <c r="IR25" s="683"/>
      <c r="IS25" s="683"/>
      <c r="IT25" s="683"/>
      <c r="IU25" s="683"/>
      <c r="IV25" s="683"/>
    </row>
    <row r="26" spans="1:256" ht="18.75">
      <c r="A26" s="686"/>
      <c r="B26" s="687"/>
      <c r="C26" s="688"/>
      <c r="D26" s="689"/>
      <c r="E26" s="689"/>
      <c r="F26" s="689"/>
      <c r="G26" s="689"/>
      <c r="H26" s="689"/>
      <c r="I26" s="689"/>
      <c r="J26" s="689"/>
      <c r="K26" s="689"/>
      <c r="L26" s="689"/>
      <c r="M26" s="690"/>
      <c r="N26" s="689"/>
      <c r="O26" s="689"/>
      <c r="P26" s="691"/>
      <c r="Q26" s="692"/>
      <c r="R26" s="655"/>
      <c r="S26" s="655"/>
      <c r="T26" s="693"/>
      <c r="U26" s="655"/>
      <c r="V26" s="655"/>
      <c r="W26" s="655"/>
      <c r="X26" s="694">
        <f t="shared" si="10"/>
        <v>0</v>
      </c>
      <c r="Y26" s="694">
        <f t="shared" si="1"/>
        <v>0</v>
      </c>
      <c r="Z26" s="677">
        <f t="shared" si="11"/>
        <v>0</v>
      </c>
      <c r="AA26" s="655"/>
      <c r="AB26" s="655"/>
      <c r="AC26" s="655"/>
      <c r="AD26" s="655"/>
      <c r="AE26" s="655"/>
      <c r="AF26" s="655"/>
      <c r="AG26" s="655"/>
      <c r="AH26" s="655"/>
      <c r="AI26" s="655"/>
      <c r="AJ26" s="655"/>
      <c r="AK26" s="655"/>
      <c r="AL26" s="655"/>
      <c r="AM26" s="655"/>
      <c r="AN26" s="655"/>
      <c r="AO26" s="655"/>
      <c r="AP26" s="655"/>
      <c r="AQ26" s="655"/>
      <c r="AR26" s="655"/>
      <c r="AS26" s="655"/>
      <c r="AT26" s="655"/>
      <c r="AU26" s="655"/>
      <c r="AV26" s="655"/>
      <c r="AW26" s="655"/>
      <c r="AX26" s="655"/>
      <c r="AY26" s="655"/>
      <c r="AZ26" s="655"/>
      <c r="BA26" s="655"/>
      <c r="BB26" s="655"/>
      <c r="BC26" s="655"/>
      <c r="BD26" s="655"/>
      <c r="BE26" s="655"/>
      <c r="BF26" s="655"/>
      <c r="BG26" s="655"/>
      <c r="BH26" s="655"/>
      <c r="BI26" s="655"/>
      <c r="BJ26" s="655"/>
      <c r="BK26" s="655"/>
      <c r="BL26" s="655"/>
      <c r="BM26" s="655"/>
      <c r="BN26" s="655"/>
      <c r="BO26" s="655"/>
      <c r="BP26" s="655"/>
      <c r="BQ26" s="655"/>
      <c r="BR26" s="655"/>
      <c r="BS26" s="655"/>
      <c r="BT26" s="655"/>
      <c r="BU26" s="655"/>
      <c r="BV26" s="655"/>
      <c r="BW26" s="655"/>
      <c r="BX26" s="655"/>
      <c r="BY26" s="655"/>
      <c r="BZ26" s="655"/>
      <c r="CA26" s="655"/>
      <c r="CB26" s="655"/>
      <c r="CC26" s="655"/>
      <c r="CD26" s="655"/>
      <c r="CE26" s="655"/>
      <c r="CF26" s="655"/>
      <c r="CG26" s="655"/>
      <c r="CH26" s="655"/>
      <c r="CI26" s="655"/>
      <c r="CJ26" s="655"/>
      <c r="CK26" s="655"/>
      <c r="CL26" s="655"/>
      <c r="CM26" s="655"/>
      <c r="CN26" s="655"/>
      <c r="CO26" s="655"/>
      <c r="CP26" s="655"/>
      <c r="CQ26" s="655"/>
      <c r="CR26" s="655"/>
      <c r="CS26" s="655"/>
      <c r="CT26" s="655"/>
      <c r="CU26" s="655"/>
      <c r="CV26" s="655"/>
      <c r="CW26" s="655"/>
      <c r="CX26" s="655"/>
      <c r="CY26" s="655"/>
      <c r="CZ26" s="655"/>
      <c r="DA26" s="655"/>
      <c r="DB26" s="655"/>
      <c r="DC26" s="655"/>
      <c r="DD26" s="655"/>
      <c r="DE26" s="655"/>
      <c r="DF26" s="655"/>
      <c r="DG26" s="655"/>
      <c r="DH26" s="655"/>
      <c r="DI26" s="655"/>
      <c r="DJ26" s="655"/>
      <c r="DK26" s="655"/>
      <c r="DL26" s="655"/>
      <c r="DM26" s="655"/>
      <c r="DN26" s="655"/>
      <c r="DO26" s="655"/>
      <c r="DP26" s="655"/>
      <c r="DQ26" s="655"/>
      <c r="DR26" s="655"/>
      <c r="DS26" s="655"/>
      <c r="DT26" s="655"/>
      <c r="DU26" s="655"/>
      <c r="DV26" s="655"/>
      <c r="DW26" s="655"/>
      <c r="DX26" s="655"/>
      <c r="DY26" s="655"/>
      <c r="DZ26" s="655"/>
      <c r="EA26" s="655"/>
      <c r="EB26" s="655"/>
      <c r="EC26" s="655"/>
      <c r="ED26" s="655"/>
      <c r="EE26" s="655"/>
      <c r="EF26" s="655"/>
      <c r="EG26" s="655"/>
      <c r="EH26" s="655"/>
      <c r="EI26" s="655"/>
      <c r="EJ26" s="655"/>
      <c r="EK26" s="655"/>
      <c r="EL26" s="655"/>
      <c r="EM26" s="655"/>
      <c r="EN26" s="655"/>
      <c r="EO26" s="655"/>
      <c r="EP26" s="655"/>
      <c r="EQ26" s="655"/>
      <c r="ER26" s="655"/>
      <c r="ES26" s="655"/>
      <c r="ET26" s="655"/>
      <c r="EU26" s="655"/>
      <c r="EV26" s="655"/>
      <c r="EW26" s="655"/>
      <c r="EX26" s="655"/>
      <c r="EY26" s="655"/>
      <c r="EZ26" s="655"/>
      <c r="FA26" s="655"/>
      <c r="FB26" s="655"/>
      <c r="FC26" s="655"/>
      <c r="FD26" s="655"/>
      <c r="FE26" s="655"/>
      <c r="FF26" s="655"/>
      <c r="FG26" s="655"/>
      <c r="FH26" s="655"/>
      <c r="FI26" s="655"/>
      <c r="FJ26" s="655"/>
      <c r="FK26" s="655"/>
      <c r="FL26" s="655"/>
      <c r="FM26" s="655"/>
      <c r="FN26" s="655"/>
      <c r="FO26" s="655"/>
      <c r="FP26" s="655"/>
      <c r="FQ26" s="655"/>
      <c r="FR26" s="655"/>
      <c r="FS26" s="655"/>
      <c r="FT26" s="655"/>
      <c r="FU26" s="655"/>
      <c r="FV26" s="655"/>
      <c r="FW26" s="655"/>
      <c r="FX26" s="655"/>
      <c r="FY26" s="655"/>
      <c r="FZ26" s="655"/>
      <c r="GA26" s="655"/>
      <c r="GB26" s="655"/>
      <c r="GC26" s="655"/>
      <c r="GD26" s="655"/>
      <c r="GE26" s="655"/>
      <c r="GF26" s="655"/>
      <c r="GG26" s="655"/>
      <c r="GH26" s="655"/>
      <c r="GI26" s="655"/>
      <c r="GJ26" s="655"/>
      <c r="GK26" s="655"/>
      <c r="GL26" s="655"/>
      <c r="GM26" s="655"/>
      <c r="GN26" s="655"/>
      <c r="GO26" s="655"/>
      <c r="GP26" s="655"/>
      <c r="GQ26" s="655"/>
      <c r="GR26" s="655"/>
      <c r="GS26" s="655"/>
      <c r="GT26" s="655"/>
      <c r="GU26" s="655"/>
      <c r="GV26" s="655"/>
      <c r="GW26" s="655"/>
      <c r="GX26" s="655"/>
      <c r="GY26" s="655"/>
      <c r="GZ26" s="655"/>
      <c r="HA26" s="655"/>
      <c r="HB26" s="655"/>
      <c r="HC26" s="655"/>
      <c r="HD26" s="655"/>
      <c r="HE26" s="655"/>
      <c r="HF26" s="655"/>
      <c r="HG26" s="655"/>
      <c r="HH26" s="655"/>
      <c r="HI26" s="655"/>
      <c r="HJ26" s="655"/>
      <c r="HK26" s="655"/>
      <c r="HL26" s="655"/>
      <c r="HM26" s="655"/>
      <c r="HN26" s="655"/>
      <c r="HO26" s="655"/>
      <c r="HP26" s="655"/>
      <c r="HQ26" s="655"/>
      <c r="HR26" s="655"/>
      <c r="HS26" s="655"/>
      <c r="HT26" s="655"/>
      <c r="HU26" s="655"/>
      <c r="HV26" s="655"/>
      <c r="HW26" s="655"/>
      <c r="HX26" s="655"/>
      <c r="HY26" s="655"/>
      <c r="HZ26" s="655"/>
      <c r="IA26" s="655"/>
      <c r="IB26" s="655"/>
      <c r="IC26" s="655"/>
      <c r="ID26" s="655"/>
      <c r="IE26" s="655"/>
      <c r="IF26" s="655"/>
      <c r="IG26" s="655"/>
      <c r="IH26" s="655"/>
      <c r="II26" s="655"/>
      <c r="IJ26" s="655"/>
      <c r="IK26" s="655"/>
      <c r="IL26" s="655"/>
      <c r="IM26" s="655"/>
      <c r="IN26" s="655"/>
      <c r="IO26" s="655"/>
      <c r="IP26" s="655"/>
      <c r="IQ26" s="655"/>
      <c r="IR26" s="655"/>
      <c r="IS26" s="655"/>
      <c r="IT26" s="655"/>
      <c r="IU26" s="655"/>
      <c r="IV26" s="655"/>
    </row>
    <row r="27" spans="1:256" ht="18.75">
      <c r="A27" s="695"/>
      <c r="B27" s="695"/>
      <c r="C27" s="695"/>
      <c r="D27" s="695"/>
      <c r="E27" s="695"/>
      <c r="F27" s="695"/>
      <c r="G27" s="695"/>
      <c r="H27" s="695"/>
      <c r="I27" s="695"/>
      <c r="J27" s="695"/>
      <c r="K27" s="695"/>
      <c r="L27" s="695"/>
      <c r="M27" s="695"/>
      <c r="N27" s="695"/>
      <c r="O27" s="695"/>
      <c r="P27" s="696"/>
    </row>
    <row r="28" spans="1:256" ht="18.75">
      <c r="A28" s="978" t="s">
        <v>965</v>
      </c>
      <c r="B28" s="978"/>
      <c r="C28" s="978"/>
      <c r="D28" s="978"/>
      <c r="E28" s="978"/>
      <c r="F28" s="978"/>
      <c r="G28" s="978"/>
      <c r="H28" s="978"/>
      <c r="I28" s="978"/>
      <c r="J28" s="978"/>
      <c r="K28" s="978"/>
      <c r="L28" s="978"/>
      <c r="M28" s="978"/>
      <c r="N28" s="978"/>
      <c r="O28" s="978"/>
      <c r="P28" s="978"/>
    </row>
    <row r="29" spans="1:256" ht="15">
      <c r="B29" s="697"/>
      <c r="C29" s="697"/>
    </row>
  </sheetData>
  <mergeCells count="20">
    <mergeCell ref="T8:T10"/>
    <mergeCell ref="I9:I10"/>
    <mergeCell ref="J9:N9"/>
    <mergeCell ref="A8:A10"/>
    <mergeCell ref="B8:B10"/>
    <mergeCell ref="A28:P28"/>
    <mergeCell ref="H8:H10"/>
    <mergeCell ref="I8:N8"/>
    <mergeCell ref="O8:O10"/>
    <mergeCell ref="P8:P10"/>
    <mergeCell ref="C8:C10"/>
    <mergeCell ref="D8:D10"/>
    <mergeCell ref="E8:F9"/>
    <mergeCell ref="G8:G10"/>
    <mergeCell ref="D7:P7"/>
    <mergeCell ref="A1:P1"/>
    <mergeCell ref="A2:P2"/>
    <mergeCell ref="A3:P3"/>
    <mergeCell ref="A4:P4"/>
    <mergeCell ref="A5:P5"/>
  </mergeCells>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B246"/>
  <sheetViews>
    <sheetView topLeftCell="A5" zoomScaleNormal="100" workbookViewId="0">
      <pane xSplit="3" ySplit="6" topLeftCell="D11" activePane="bottomRight" state="frozen"/>
      <selection activeCell="A5" sqref="A5"/>
      <selection pane="topRight" activeCell="D5" sqref="D5"/>
      <selection pane="bottomLeft" activeCell="A11" sqref="A11"/>
      <selection pane="bottomRight" activeCell="Q109" sqref="Q109"/>
    </sheetView>
  </sheetViews>
  <sheetFormatPr defaultRowHeight="15" outlineLevelRow="2"/>
  <cols>
    <col min="1" max="1" width="5.42578125" style="190" customWidth="1"/>
    <col min="2" max="2" width="28.85546875" customWidth="1"/>
    <col min="3" max="3" width="15.42578125" customWidth="1"/>
    <col min="4" max="5" width="6.7109375" customWidth="1"/>
    <col min="6" max="6" width="9.85546875" style="342" customWidth="1"/>
    <col min="7" max="7" width="15.28515625" customWidth="1"/>
    <col min="8" max="8" width="7" customWidth="1"/>
    <col min="9" max="9" width="9.7109375" hidden="1" customWidth="1"/>
    <col min="10" max="10" width="12.140625" customWidth="1"/>
    <col min="11" max="12" width="12.42578125" bestFit="1" customWidth="1"/>
    <col min="13" max="15" width="0" hidden="1" customWidth="1"/>
    <col min="16" max="18" width="12.42578125" bestFit="1" customWidth="1"/>
    <col min="19" max="19" width="26.42578125" customWidth="1"/>
    <col min="20" max="20" width="13.28515625" bestFit="1" customWidth="1"/>
    <col min="21" max="21" width="5.28515625" customWidth="1"/>
    <col min="22" max="23" width="4.85546875" customWidth="1"/>
    <col min="24" max="24" width="22.140625" customWidth="1"/>
    <col min="25" max="25" width="24.7109375" customWidth="1"/>
    <col min="26" max="26" width="28.42578125" bestFit="1" customWidth="1"/>
    <col min="27" max="28" width="18.28515625" customWidth="1"/>
  </cols>
  <sheetData>
    <row r="1" spans="1:28" ht="18.75">
      <c r="A1" s="890" t="s">
        <v>141</v>
      </c>
      <c r="B1" s="890"/>
      <c r="C1" s="890"/>
      <c r="D1" s="890"/>
      <c r="E1" s="890"/>
      <c r="F1" s="890"/>
      <c r="G1" s="890"/>
      <c r="H1" s="890"/>
      <c r="I1" s="890"/>
      <c r="J1" s="890"/>
      <c r="K1" s="890"/>
      <c r="L1" s="890"/>
      <c r="M1" s="890"/>
      <c r="N1" s="890"/>
      <c r="O1" s="890"/>
      <c r="P1" s="890"/>
      <c r="Q1" s="890"/>
      <c r="R1" s="890"/>
      <c r="S1" s="890"/>
      <c r="T1" s="701"/>
      <c r="U1" s="701"/>
      <c r="V1" s="701"/>
      <c r="W1" s="701"/>
    </row>
    <row r="2" spans="1:28" ht="18.75">
      <c r="A2" s="890" t="s">
        <v>200</v>
      </c>
      <c r="B2" s="939"/>
      <c r="C2" s="939"/>
      <c r="D2" s="939"/>
      <c r="E2" s="939"/>
      <c r="F2" s="939"/>
      <c r="G2" s="939"/>
      <c r="H2" s="939"/>
      <c r="I2" s="939"/>
      <c r="J2" s="939"/>
      <c r="K2" s="939"/>
      <c r="L2" s="939"/>
      <c r="M2" s="939"/>
      <c r="N2" s="939"/>
      <c r="O2" s="939"/>
      <c r="P2" s="939"/>
      <c r="Q2" s="939"/>
      <c r="R2" s="939"/>
      <c r="S2" s="939"/>
      <c r="T2" s="702"/>
      <c r="U2" s="702"/>
      <c r="V2" s="702"/>
      <c r="W2" s="702"/>
    </row>
    <row r="3" spans="1:28" ht="16.5">
      <c r="A3" s="940" t="s">
        <v>1000</v>
      </c>
      <c r="B3" s="940"/>
      <c r="C3" s="940"/>
      <c r="D3" s="940"/>
      <c r="E3" s="940"/>
      <c r="F3" s="940"/>
      <c r="G3" s="940"/>
      <c r="H3" s="940"/>
      <c r="I3" s="940"/>
      <c r="J3" s="940"/>
      <c r="K3" s="940"/>
      <c r="L3" s="940"/>
      <c r="M3" s="940"/>
      <c r="N3" s="940"/>
      <c r="O3" s="940"/>
      <c r="P3" s="940"/>
      <c r="Q3" s="940"/>
      <c r="R3" s="940"/>
      <c r="S3" s="940"/>
      <c r="T3" s="703"/>
      <c r="U3" s="703"/>
      <c r="V3" s="703"/>
      <c r="W3" s="703"/>
    </row>
    <row r="4" spans="1:28">
      <c r="A4" s="299"/>
      <c r="B4" s="285"/>
      <c r="C4" s="285"/>
      <c r="D4" s="285"/>
      <c r="E4" s="285"/>
      <c r="F4" s="334"/>
      <c r="G4" s="284"/>
      <c r="H4" s="284"/>
      <c r="I4" s="286"/>
      <c r="J4" s="284"/>
      <c r="K4" s="287"/>
      <c r="L4" s="287"/>
      <c r="M4" s="287"/>
      <c r="N4" s="287"/>
      <c r="O4" s="287"/>
      <c r="P4" s="287"/>
      <c r="Q4" s="287"/>
      <c r="R4" s="287"/>
      <c r="S4" s="288"/>
      <c r="T4" s="707"/>
      <c r="U4" s="707"/>
      <c r="V4" s="707"/>
      <c r="W4" s="707"/>
    </row>
    <row r="5" spans="1:28" ht="34.5" customHeight="1">
      <c r="A5" s="941" t="s">
        <v>4</v>
      </c>
      <c r="B5" s="941" t="s">
        <v>190</v>
      </c>
      <c r="C5" s="923" t="s">
        <v>507</v>
      </c>
      <c r="D5" s="941" t="s">
        <v>153</v>
      </c>
      <c r="E5" s="941" t="s">
        <v>904</v>
      </c>
      <c r="F5" s="923" t="s">
        <v>191</v>
      </c>
      <c r="G5" s="923" t="s">
        <v>192</v>
      </c>
      <c r="H5" s="923" t="s">
        <v>193</v>
      </c>
      <c r="I5" s="923" t="s">
        <v>881</v>
      </c>
      <c r="J5" s="923"/>
      <c r="K5" s="923"/>
      <c r="L5" s="923"/>
      <c r="M5" s="954" t="s">
        <v>195</v>
      </c>
      <c r="N5" s="956"/>
      <c r="O5" s="955"/>
      <c r="P5" s="923" t="s">
        <v>865</v>
      </c>
      <c r="Q5" s="923"/>
      <c r="R5" s="923"/>
      <c r="S5" s="919" t="s">
        <v>9</v>
      </c>
      <c r="T5" s="708">
        <f>40+30+40</f>
        <v>110</v>
      </c>
      <c r="U5" s="708"/>
      <c r="V5" s="708"/>
      <c r="W5" s="708"/>
      <c r="X5" t="s">
        <v>586</v>
      </c>
    </row>
    <row r="6" spans="1:28">
      <c r="A6" s="942"/>
      <c r="B6" s="942"/>
      <c r="C6" s="923"/>
      <c r="D6" s="942"/>
      <c r="E6" s="942"/>
      <c r="F6" s="923"/>
      <c r="G6" s="923"/>
      <c r="H6" s="923"/>
      <c r="I6" s="923" t="s">
        <v>197</v>
      </c>
      <c r="J6" s="923" t="s">
        <v>157</v>
      </c>
      <c r="K6" s="923" t="s">
        <v>198</v>
      </c>
      <c r="L6" s="923"/>
      <c r="M6" s="941" t="s">
        <v>161</v>
      </c>
      <c r="N6" s="954" t="s">
        <v>198</v>
      </c>
      <c r="O6" s="955"/>
      <c r="P6" s="923" t="s">
        <v>161</v>
      </c>
      <c r="Q6" s="923" t="s">
        <v>198</v>
      </c>
      <c r="R6" s="923"/>
      <c r="S6" s="919"/>
      <c r="T6" s="708">
        <v>800000</v>
      </c>
      <c r="U6" s="708"/>
      <c r="V6" s="708"/>
      <c r="W6" s="708"/>
      <c r="X6" t="s">
        <v>587</v>
      </c>
      <c r="Y6" s="448">
        <f>Y7+Y8</f>
        <v>3265000.0000000019</v>
      </c>
      <c r="Z6" s="499" t="s">
        <v>892</v>
      </c>
      <c r="AA6" s="570">
        <v>10914200</v>
      </c>
      <c r="AB6" s="570">
        <v>12796219.500000002</v>
      </c>
    </row>
    <row r="7" spans="1:28">
      <c r="A7" s="942"/>
      <c r="B7" s="942"/>
      <c r="C7" s="923"/>
      <c r="D7" s="942"/>
      <c r="E7" s="942"/>
      <c r="F7" s="923"/>
      <c r="G7" s="923"/>
      <c r="H7" s="923"/>
      <c r="I7" s="923"/>
      <c r="J7" s="923"/>
      <c r="K7" s="923" t="s">
        <v>133</v>
      </c>
      <c r="L7" s="923" t="s">
        <v>199</v>
      </c>
      <c r="M7" s="942"/>
      <c r="N7" s="941" t="s">
        <v>133</v>
      </c>
      <c r="O7" s="941" t="s">
        <v>199</v>
      </c>
      <c r="P7" s="923"/>
      <c r="Q7" s="923" t="s">
        <v>133</v>
      </c>
      <c r="R7" s="923" t="s">
        <v>199</v>
      </c>
      <c r="S7" s="919"/>
      <c r="T7" s="708">
        <v>2730030</v>
      </c>
      <c r="U7" s="708"/>
      <c r="V7" s="708"/>
      <c r="W7" s="708"/>
      <c r="X7" t="s">
        <v>588</v>
      </c>
      <c r="Y7" s="448">
        <v>3265000.0000000019</v>
      </c>
      <c r="Z7" s="499" t="s">
        <v>903</v>
      </c>
      <c r="AA7" s="448">
        <f>AA6-Q10</f>
        <v>0</v>
      </c>
      <c r="AB7" s="448">
        <f>AB6-R10</f>
        <v>0</v>
      </c>
    </row>
    <row r="8" spans="1:28">
      <c r="A8" s="943"/>
      <c r="B8" s="943"/>
      <c r="C8" s="923"/>
      <c r="D8" s="943"/>
      <c r="E8" s="943"/>
      <c r="F8" s="923"/>
      <c r="G8" s="923"/>
      <c r="H8" s="923"/>
      <c r="I8" s="923"/>
      <c r="J8" s="923"/>
      <c r="K8" s="923"/>
      <c r="L8" s="923"/>
      <c r="M8" s="943"/>
      <c r="N8" s="943"/>
      <c r="O8" s="943"/>
      <c r="P8" s="923"/>
      <c r="Q8" s="923"/>
      <c r="R8" s="923"/>
      <c r="S8" s="919"/>
      <c r="T8" s="711">
        <f>T10-T9</f>
        <v>3624998.0799999996</v>
      </c>
      <c r="U8" s="711"/>
      <c r="V8" s="708"/>
      <c r="W8" s="708"/>
      <c r="X8" t="s">
        <v>589</v>
      </c>
      <c r="Y8" s="448">
        <v>0</v>
      </c>
      <c r="Z8" s="499" t="s">
        <v>893</v>
      </c>
      <c r="AA8" s="570">
        <v>17803077.5</v>
      </c>
    </row>
    <row r="9" spans="1:28">
      <c r="A9" s="289">
        <v>1</v>
      </c>
      <c r="B9" s="289">
        <v>2</v>
      </c>
      <c r="C9" s="290">
        <v>3</v>
      </c>
      <c r="D9" s="290"/>
      <c r="E9" s="290"/>
      <c r="F9" s="335">
        <v>4</v>
      </c>
      <c r="G9" s="290">
        <v>5</v>
      </c>
      <c r="H9" s="290">
        <v>6</v>
      </c>
      <c r="I9" s="290">
        <v>7</v>
      </c>
      <c r="J9" s="290">
        <v>8</v>
      </c>
      <c r="K9" s="290">
        <v>9</v>
      </c>
      <c r="L9" s="290">
        <v>10</v>
      </c>
      <c r="M9" s="290">
        <v>11</v>
      </c>
      <c r="N9" s="290">
        <v>12</v>
      </c>
      <c r="O9" s="290">
        <v>13</v>
      </c>
      <c r="P9" s="290">
        <v>14</v>
      </c>
      <c r="Q9" s="290">
        <v>15</v>
      </c>
      <c r="R9" s="290">
        <v>16</v>
      </c>
      <c r="S9" s="291">
        <v>17</v>
      </c>
      <c r="T9" s="709">
        <f>T15+T17+T19+T20+T28+T37+T38+T40+T41+T42+T43+T44+T45+T46+T47+T48+T49+T50+T51+T52+T53+T55+T56+T57+T58+T59+T60+T61+T62+T63+T64+T65+T66+T67+T68+T69+T70+T71+T72+T73+T74+T75+T76+T77+T78+T79+T80+T83+T84+T86+T87+T88+T89+T98+T100+T101+T102+T103+T178</f>
        <v>636889.93999999994</v>
      </c>
      <c r="U9" s="709"/>
      <c r="V9" s="709">
        <v>59</v>
      </c>
      <c r="W9" s="709"/>
      <c r="Z9" s="499" t="s">
        <v>894</v>
      </c>
      <c r="AA9" s="448">
        <f>AA8-L10</f>
        <v>744969.98000000045</v>
      </c>
      <c r="AB9" t="s">
        <v>895</v>
      </c>
    </row>
    <row r="10" spans="1:28" ht="22.5" customHeight="1">
      <c r="A10" s="524"/>
      <c r="B10" s="247" t="s">
        <v>138</v>
      </c>
      <c r="C10" s="551"/>
      <c r="D10" s="524"/>
      <c r="E10" s="524"/>
      <c r="F10" s="525"/>
      <c r="G10" s="525"/>
      <c r="H10" s="524"/>
      <c r="I10" s="524"/>
      <c r="J10" s="568">
        <f t="shared" ref="J10:R10" si="0">J11+J180</f>
        <v>29780451.759999998</v>
      </c>
      <c r="K10" s="568">
        <f t="shared" si="0"/>
        <v>12010580.73</v>
      </c>
      <c r="L10" s="568">
        <f t="shared" si="0"/>
        <v>17058107.52</v>
      </c>
      <c r="M10" s="568">
        <f t="shared" si="0"/>
        <v>200570</v>
      </c>
      <c r="N10" s="568">
        <f t="shared" si="0"/>
        <v>200000</v>
      </c>
      <c r="O10" s="568">
        <f t="shared" si="0"/>
        <v>208789</v>
      </c>
      <c r="P10" s="568">
        <f t="shared" si="0"/>
        <v>23710419.5</v>
      </c>
      <c r="Q10" s="568">
        <f t="shared" si="0"/>
        <v>10914200</v>
      </c>
      <c r="R10" s="568">
        <f t="shared" si="0"/>
        <v>12796219.5</v>
      </c>
      <c r="S10" s="526"/>
      <c r="T10" s="709">
        <f>L10-R10</f>
        <v>4261888.0199999996</v>
      </c>
      <c r="U10" s="709"/>
      <c r="V10" s="709"/>
      <c r="W10" s="709"/>
      <c r="X10" s="448">
        <f>L10-R10</f>
        <v>4261888.0199999996</v>
      </c>
    </row>
    <row r="11" spans="1:28" ht="24" customHeight="1">
      <c r="A11" s="528" t="s">
        <v>20</v>
      </c>
      <c r="B11" s="529" t="s">
        <v>660</v>
      </c>
      <c r="C11" s="552"/>
      <c r="D11" s="528"/>
      <c r="E11" s="528"/>
      <c r="F11" s="530"/>
      <c r="G11" s="530"/>
      <c r="H11" s="531"/>
      <c r="I11" s="528"/>
      <c r="J11" s="569">
        <f t="shared" ref="J11:R11" si="1">J12+J35+J92+J105+J120+J134+J143+J146+J149+J154+J157+J164+J167+J171+J174</f>
        <v>24908720.25</v>
      </c>
      <c r="K11" s="569">
        <f t="shared" si="1"/>
        <v>12010580.73</v>
      </c>
      <c r="L11" s="569">
        <f t="shared" si="1"/>
        <v>12898139.52</v>
      </c>
      <c r="M11" s="569">
        <f t="shared" si="1"/>
        <v>200570</v>
      </c>
      <c r="N11" s="569">
        <f t="shared" si="1"/>
        <v>200000</v>
      </c>
      <c r="O11" s="569">
        <f t="shared" si="1"/>
        <v>208789</v>
      </c>
      <c r="P11" s="569">
        <f t="shared" si="1"/>
        <v>20445419.5</v>
      </c>
      <c r="Q11" s="569">
        <f t="shared" si="1"/>
        <v>10914200</v>
      </c>
      <c r="R11" s="569">
        <f t="shared" si="1"/>
        <v>9531219.5</v>
      </c>
      <c r="S11" s="532"/>
      <c r="T11" s="709"/>
      <c r="U11" s="709"/>
      <c r="V11" s="709"/>
      <c r="W11" s="709"/>
      <c r="X11" s="448"/>
      <c r="Y11" s="448"/>
    </row>
    <row r="12" spans="1:28" s="297" customFormat="1" ht="30" customHeight="1" collapsed="1">
      <c r="A12" s="527" t="s">
        <v>835</v>
      </c>
      <c r="B12" s="298" t="s">
        <v>172</v>
      </c>
      <c r="C12" s="394"/>
      <c r="D12" s="343"/>
      <c r="E12" s="343"/>
      <c r="F12" s="344"/>
      <c r="G12" s="344"/>
      <c r="H12" s="394"/>
      <c r="I12" s="343"/>
      <c r="J12" s="533">
        <f t="shared" ref="J12:R12" si="2">J13+J25</f>
        <v>10526030.08</v>
      </c>
      <c r="K12" s="533">
        <f t="shared" si="2"/>
        <v>5960000</v>
      </c>
      <c r="L12" s="533">
        <f t="shared" si="2"/>
        <v>4566030.08</v>
      </c>
      <c r="M12" s="533">
        <f t="shared" si="2"/>
        <v>200460</v>
      </c>
      <c r="N12" s="533">
        <f t="shared" si="2"/>
        <v>200000</v>
      </c>
      <c r="O12" s="533">
        <f t="shared" si="2"/>
        <v>208679</v>
      </c>
      <c r="P12" s="533">
        <f t="shared" si="2"/>
        <v>9393000</v>
      </c>
      <c r="Q12" s="533">
        <f t="shared" si="2"/>
        <v>5960000</v>
      </c>
      <c r="R12" s="533">
        <f t="shared" si="2"/>
        <v>3433000</v>
      </c>
      <c r="S12" s="343"/>
      <c r="T12" s="709"/>
      <c r="U12" s="709"/>
      <c r="V12" s="709"/>
      <c r="W12" s="709"/>
      <c r="X12" s="320"/>
      <c r="Y12" s="320"/>
    </row>
    <row r="13" spans="1:28" s="297" customFormat="1" ht="22.5" customHeight="1" outlineLevel="1">
      <c r="A13" s="323" t="s">
        <v>510</v>
      </c>
      <c r="B13" s="281" t="s">
        <v>302</v>
      </c>
      <c r="C13" s="393"/>
      <c r="D13" s="324"/>
      <c r="E13" s="324"/>
      <c r="F13" s="339"/>
      <c r="G13" s="339"/>
      <c r="H13" s="393"/>
      <c r="I13" s="324"/>
      <c r="J13" s="345">
        <f>SUM(J14:J24)</f>
        <v>8512000</v>
      </c>
      <c r="K13" s="345">
        <f t="shared" ref="K13:R13" si="3">SUM(K14:K24)</f>
        <v>5260000</v>
      </c>
      <c r="L13" s="345">
        <f t="shared" si="3"/>
        <v>3252000</v>
      </c>
      <c r="M13" s="345">
        <f t="shared" si="3"/>
        <v>200460</v>
      </c>
      <c r="N13" s="345">
        <f t="shared" si="3"/>
        <v>200000</v>
      </c>
      <c r="O13" s="345">
        <f t="shared" si="3"/>
        <v>200460</v>
      </c>
      <c r="P13" s="345">
        <f t="shared" si="3"/>
        <v>7726000</v>
      </c>
      <c r="Q13" s="345">
        <f>SUM(Q14:Q24)</f>
        <v>5260000</v>
      </c>
      <c r="R13" s="345">
        <f t="shared" si="3"/>
        <v>2466000</v>
      </c>
      <c r="S13" s="376"/>
      <c r="T13" s="709"/>
      <c r="U13" s="709"/>
      <c r="V13" s="709"/>
      <c r="W13" s="709"/>
      <c r="X13" s="320"/>
      <c r="Y13" s="320"/>
    </row>
    <row r="14" spans="1:28" s="297" customFormat="1" ht="75.75" customHeight="1" outlineLevel="2">
      <c r="A14" s="293">
        <v>1</v>
      </c>
      <c r="B14" s="255" t="s">
        <v>880</v>
      </c>
      <c r="C14" s="553" t="s">
        <v>293</v>
      </c>
      <c r="D14" s="293" t="s">
        <v>20</v>
      </c>
      <c r="E14" s="293" t="s">
        <v>101</v>
      </c>
      <c r="F14" s="337" t="s">
        <v>270</v>
      </c>
      <c r="G14" s="580" t="s">
        <v>927</v>
      </c>
      <c r="H14" s="263" t="s">
        <v>211</v>
      </c>
      <c r="I14" s="293" t="s">
        <v>296</v>
      </c>
      <c r="J14" s="347">
        <v>2000000</v>
      </c>
      <c r="K14" s="347">
        <f>Q14</f>
        <v>1900000</v>
      </c>
      <c r="L14" s="347">
        <f>J14-K14</f>
        <v>100000</v>
      </c>
      <c r="M14" s="255"/>
      <c r="N14" s="255"/>
      <c r="O14" s="255"/>
      <c r="P14" s="347">
        <f>Q14+R14</f>
        <v>2000000</v>
      </c>
      <c r="Q14" s="347">
        <v>1900000</v>
      </c>
      <c r="R14" s="347">
        <v>100000</v>
      </c>
      <c r="S14" s="468" t="s">
        <v>928</v>
      </c>
      <c r="T14" s="709">
        <f t="shared" ref="T14:T77" si="4">L14-R14</f>
        <v>0</v>
      </c>
      <c r="U14" s="709"/>
      <c r="V14" s="709">
        <v>1</v>
      </c>
      <c r="W14" s="709"/>
      <c r="X14" s="330"/>
      <c r="Y14" s="599"/>
    </row>
    <row r="15" spans="1:28" s="297" customFormat="1" ht="90" customHeight="1" outlineLevel="2">
      <c r="A15" s="254">
        <f>MAX(A$14:$A14)+1</f>
        <v>2</v>
      </c>
      <c r="B15" s="255" t="s">
        <v>303</v>
      </c>
      <c r="C15" s="553" t="s">
        <v>293</v>
      </c>
      <c r="D15" s="293" t="s">
        <v>101</v>
      </c>
      <c r="E15" s="293" t="s">
        <v>101</v>
      </c>
      <c r="F15" s="337" t="s">
        <v>304</v>
      </c>
      <c r="G15" s="468" t="s">
        <v>305</v>
      </c>
      <c r="H15" s="263" t="s">
        <v>211</v>
      </c>
      <c r="I15" s="293" t="s">
        <v>306</v>
      </c>
      <c r="J15" s="347">
        <v>2199000</v>
      </c>
      <c r="K15" s="347">
        <f t="shared" ref="K15:K24" si="5">Q15</f>
        <v>2000000</v>
      </c>
      <c r="L15" s="347">
        <f t="shared" ref="L15:L24" si="6">J15-K15</f>
        <v>199000</v>
      </c>
      <c r="M15" s="347">
        <f>N15+O15</f>
        <v>460</v>
      </c>
      <c r="N15" s="347"/>
      <c r="O15" s="347">
        <v>460</v>
      </c>
      <c r="P15" s="347">
        <f t="shared" ref="P15:P24" si="7">Q15+R15</f>
        <v>2100000</v>
      </c>
      <c r="Q15" s="347">
        <v>2000000</v>
      </c>
      <c r="R15" s="347">
        <v>100000</v>
      </c>
      <c r="S15" s="468"/>
      <c r="T15" s="709">
        <f t="shared" si="4"/>
        <v>99000</v>
      </c>
      <c r="U15" s="709"/>
      <c r="V15" s="709">
        <v>1</v>
      </c>
      <c r="W15" s="709"/>
      <c r="X15" s="330"/>
      <c r="Y15" s="599"/>
    </row>
    <row r="16" spans="1:28" s="297" customFormat="1" ht="78.75" customHeight="1" outlineLevel="2">
      <c r="A16" s="254">
        <f>MAX(A$14:$A15)+1</f>
        <v>3</v>
      </c>
      <c r="B16" s="587" t="s">
        <v>307</v>
      </c>
      <c r="C16" s="588" t="s">
        <v>293</v>
      </c>
      <c r="D16" s="276" t="s">
        <v>101</v>
      </c>
      <c r="E16" s="276" t="s">
        <v>101</v>
      </c>
      <c r="F16" s="340" t="s">
        <v>308</v>
      </c>
      <c r="G16" s="340" t="s">
        <v>309</v>
      </c>
      <c r="H16" s="558" t="s">
        <v>211</v>
      </c>
      <c r="I16" s="276"/>
      <c r="J16" s="589">
        <v>350000</v>
      </c>
      <c r="K16" s="347">
        <f t="shared" si="5"/>
        <v>300000</v>
      </c>
      <c r="L16" s="347">
        <f t="shared" si="6"/>
        <v>50000</v>
      </c>
      <c r="M16" s="589"/>
      <c r="N16" s="589"/>
      <c r="O16" s="589"/>
      <c r="P16" s="347">
        <f t="shared" si="7"/>
        <v>350000</v>
      </c>
      <c r="Q16" s="589">
        <v>300000</v>
      </c>
      <c r="R16" s="589">
        <v>50000</v>
      </c>
      <c r="S16" s="622" t="s">
        <v>310</v>
      </c>
      <c r="T16" s="709">
        <f t="shared" si="4"/>
        <v>0</v>
      </c>
      <c r="U16" s="709"/>
      <c r="V16" s="709">
        <v>1</v>
      </c>
      <c r="W16" s="709"/>
      <c r="X16" s="584"/>
      <c r="Y16" s="599"/>
    </row>
    <row r="17" spans="1:25" s="460" customFormat="1" ht="105" customHeight="1" outlineLevel="2">
      <c r="A17" s="254">
        <f>MAX(A$14:$A16)+1</f>
        <v>4</v>
      </c>
      <c r="B17" s="478" t="s">
        <v>321</v>
      </c>
      <c r="C17" s="555" t="s">
        <v>293</v>
      </c>
      <c r="D17" s="574" t="s">
        <v>101</v>
      </c>
      <c r="E17" s="574" t="s">
        <v>101</v>
      </c>
      <c r="F17" s="378" t="s">
        <v>318</v>
      </c>
      <c r="G17" s="452" t="s">
        <v>322</v>
      </c>
      <c r="H17" s="575" t="s">
        <v>300</v>
      </c>
      <c r="I17" s="574"/>
      <c r="J17" s="482">
        <v>1200000</v>
      </c>
      <c r="K17" s="583">
        <f>Q17</f>
        <v>1060000</v>
      </c>
      <c r="L17" s="583">
        <f>J17-K17</f>
        <v>140000</v>
      </c>
      <c r="M17" s="576"/>
      <c r="N17" s="576"/>
      <c r="O17" s="576"/>
      <c r="P17" s="347">
        <f t="shared" si="7"/>
        <v>1140000</v>
      </c>
      <c r="Q17" s="483">
        <v>1060000</v>
      </c>
      <c r="R17" s="483">
        <v>80000</v>
      </c>
      <c r="S17" s="608" t="s">
        <v>323</v>
      </c>
      <c r="T17" s="709">
        <f t="shared" si="4"/>
        <v>60000</v>
      </c>
      <c r="U17" s="709"/>
      <c r="V17" s="709">
        <v>1</v>
      </c>
      <c r="W17" s="709"/>
      <c r="X17" s="704"/>
      <c r="Y17" s="599"/>
    </row>
    <row r="18" spans="1:25" s="297" customFormat="1" ht="91.5" customHeight="1" outlineLevel="2">
      <c r="A18" s="254">
        <f>MAX(A$14:$A17)+1</f>
        <v>5</v>
      </c>
      <c r="B18" s="350" t="s">
        <v>313</v>
      </c>
      <c r="C18" s="554" t="s">
        <v>293</v>
      </c>
      <c r="D18" s="349" t="s">
        <v>101</v>
      </c>
      <c r="E18" s="349" t="s">
        <v>101</v>
      </c>
      <c r="F18" s="351" t="s">
        <v>314</v>
      </c>
      <c r="G18" s="337" t="s">
        <v>315</v>
      </c>
      <c r="H18" s="391" t="s">
        <v>922</v>
      </c>
      <c r="I18" s="349"/>
      <c r="J18" s="352">
        <v>850000</v>
      </c>
      <c r="K18" s="347">
        <f t="shared" si="5"/>
        <v>0</v>
      </c>
      <c r="L18" s="347">
        <f t="shared" si="6"/>
        <v>850000</v>
      </c>
      <c r="M18" s="352"/>
      <c r="N18" s="352"/>
      <c r="O18" s="352"/>
      <c r="P18" s="347">
        <f t="shared" si="7"/>
        <v>300000</v>
      </c>
      <c r="Q18" s="352"/>
      <c r="R18" s="352">
        <v>300000</v>
      </c>
      <c r="S18" s="619" t="s">
        <v>316</v>
      </c>
      <c r="T18" s="713">
        <f t="shared" si="4"/>
        <v>550000</v>
      </c>
      <c r="U18" s="713">
        <v>1</v>
      </c>
      <c r="V18" s="709"/>
      <c r="W18" s="709"/>
      <c r="X18" s="331"/>
      <c r="Y18" s="599"/>
    </row>
    <row r="19" spans="1:25" s="297" customFormat="1" ht="103.5" customHeight="1" outlineLevel="2">
      <c r="A19" s="254">
        <f>MAX(A$14:$A18)+1</f>
        <v>6</v>
      </c>
      <c r="B19" s="356" t="s">
        <v>862</v>
      </c>
      <c r="C19" s="554" t="s">
        <v>293</v>
      </c>
      <c r="D19" s="357" t="s">
        <v>101</v>
      </c>
      <c r="E19" s="357" t="s">
        <v>101</v>
      </c>
      <c r="F19" s="358" t="s">
        <v>318</v>
      </c>
      <c r="G19" s="337" t="s">
        <v>319</v>
      </c>
      <c r="H19" s="392" t="s">
        <v>278</v>
      </c>
      <c r="I19" s="357"/>
      <c r="J19" s="352">
        <v>1300000</v>
      </c>
      <c r="K19" s="347">
        <f t="shared" si="5"/>
        <v>0</v>
      </c>
      <c r="L19" s="347">
        <f t="shared" si="6"/>
        <v>1300000</v>
      </c>
      <c r="M19" s="352"/>
      <c r="N19" s="352"/>
      <c r="O19" s="352"/>
      <c r="P19" s="347">
        <f t="shared" si="7"/>
        <v>1230000</v>
      </c>
      <c r="Q19" s="352"/>
      <c r="R19" s="347">
        <v>1230000</v>
      </c>
      <c r="S19" s="618" t="s">
        <v>320</v>
      </c>
      <c r="T19" s="709">
        <f t="shared" si="4"/>
        <v>70000</v>
      </c>
      <c r="U19" s="709"/>
      <c r="V19" s="709">
        <v>1</v>
      </c>
      <c r="W19" s="709"/>
      <c r="X19" s="332"/>
      <c r="Y19" s="599"/>
    </row>
    <row r="20" spans="1:25" s="297" customFormat="1" ht="138.75" customHeight="1" outlineLevel="2">
      <c r="A20" s="254">
        <f>MAX(A$14:$A19)+1</f>
        <v>7</v>
      </c>
      <c r="B20" s="355" t="s">
        <v>328</v>
      </c>
      <c r="C20" s="554" t="s">
        <v>293</v>
      </c>
      <c r="D20" s="349" t="s">
        <v>101</v>
      </c>
      <c r="E20" s="349" t="s">
        <v>173</v>
      </c>
      <c r="F20" s="358" t="s">
        <v>270</v>
      </c>
      <c r="G20" s="337" t="s">
        <v>891</v>
      </c>
      <c r="H20" s="391" t="s">
        <v>330</v>
      </c>
      <c r="I20" s="349"/>
      <c r="J20" s="353">
        <v>67000</v>
      </c>
      <c r="K20" s="347">
        <f t="shared" si="5"/>
        <v>0</v>
      </c>
      <c r="L20" s="347">
        <f t="shared" si="6"/>
        <v>67000</v>
      </c>
      <c r="M20" s="355"/>
      <c r="N20" s="355"/>
      <c r="O20" s="355"/>
      <c r="P20" s="347">
        <f t="shared" si="7"/>
        <v>60000</v>
      </c>
      <c r="Q20" s="347"/>
      <c r="R20" s="347">
        <v>60000</v>
      </c>
      <c r="S20" s="382" t="s">
        <v>331</v>
      </c>
      <c r="T20" s="709">
        <f t="shared" si="4"/>
        <v>7000</v>
      </c>
      <c r="U20" s="709"/>
      <c r="V20" s="709">
        <v>1</v>
      </c>
      <c r="W20" s="709"/>
      <c r="X20" s="331"/>
      <c r="Y20" s="599"/>
    </row>
    <row r="21" spans="1:25" s="297" customFormat="1" ht="108" outlineLevel="2">
      <c r="A21" s="254">
        <f>MAX(A$14:$A20)+1</f>
        <v>8</v>
      </c>
      <c r="B21" s="355" t="s">
        <v>332</v>
      </c>
      <c r="C21" s="554" t="s">
        <v>293</v>
      </c>
      <c r="D21" s="349" t="s">
        <v>173</v>
      </c>
      <c r="E21" s="349" t="s">
        <v>173</v>
      </c>
      <c r="F21" s="358" t="s">
        <v>231</v>
      </c>
      <c r="G21" s="337" t="s">
        <v>333</v>
      </c>
      <c r="H21" s="391" t="s">
        <v>428</v>
      </c>
      <c r="I21" s="349"/>
      <c r="J21" s="353">
        <v>46000</v>
      </c>
      <c r="K21" s="347">
        <f t="shared" si="5"/>
        <v>0</v>
      </c>
      <c r="L21" s="347">
        <f t="shared" si="6"/>
        <v>46000</v>
      </c>
      <c r="M21" s="355"/>
      <c r="N21" s="355"/>
      <c r="O21" s="355"/>
      <c r="P21" s="347">
        <f t="shared" si="7"/>
        <v>46000</v>
      </c>
      <c r="Q21" s="355"/>
      <c r="R21" s="353">
        <v>46000</v>
      </c>
      <c r="S21" s="382" t="s">
        <v>334</v>
      </c>
      <c r="T21" s="709">
        <f t="shared" si="4"/>
        <v>0</v>
      </c>
      <c r="U21" s="709"/>
      <c r="V21" s="709">
        <v>1</v>
      </c>
      <c r="W21" s="709"/>
      <c r="X21" s="331"/>
      <c r="Y21" s="599"/>
    </row>
    <row r="22" spans="1:25" s="297" customFormat="1" ht="88.5" customHeight="1" outlineLevel="2">
      <c r="A22" s="254">
        <f>MAX(A$14:$A21)+1</f>
        <v>9</v>
      </c>
      <c r="B22" s="478" t="s">
        <v>335</v>
      </c>
      <c r="C22" s="555" t="s">
        <v>293</v>
      </c>
      <c r="D22" s="479" t="s">
        <v>101</v>
      </c>
      <c r="E22" s="479" t="s">
        <v>173</v>
      </c>
      <c r="F22" s="480" t="s">
        <v>336</v>
      </c>
      <c r="G22" s="585" t="s">
        <v>337</v>
      </c>
      <c r="H22" s="481" t="s">
        <v>330</v>
      </c>
      <c r="I22" s="479"/>
      <c r="J22" s="482">
        <v>100000</v>
      </c>
      <c r="K22" s="347">
        <f t="shared" si="5"/>
        <v>0</v>
      </c>
      <c r="L22" s="347">
        <f t="shared" si="6"/>
        <v>100000</v>
      </c>
      <c r="M22" s="478"/>
      <c r="N22" s="478"/>
      <c r="O22" s="478"/>
      <c r="P22" s="347">
        <f t="shared" si="7"/>
        <v>100000</v>
      </c>
      <c r="Q22" s="576"/>
      <c r="R22" s="482">
        <v>100000</v>
      </c>
      <c r="S22" s="623" t="s">
        <v>338</v>
      </c>
      <c r="T22" s="709">
        <f t="shared" si="4"/>
        <v>0</v>
      </c>
      <c r="U22" s="709"/>
      <c r="V22" s="709">
        <v>1</v>
      </c>
      <c r="W22" s="709"/>
      <c r="X22" s="485"/>
      <c r="Y22" s="599"/>
    </row>
    <row r="23" spans="1:25" s="460" customFormat="1" ht="78" customHeight="1" outlineLevel="2">
      <c r="A23" s="254">
        <f>MAX(A$14:$A22)+1</f>
        <v>10</v>
      </c>
      <c r="B23" s="478" t="s">
        <v>602</v>
      </c>
      <c r="C23" s="555" t="s">
        <v>610</v>
      </c>
      <c r="D23" s="479" t="s">
        <v>101</v>
      </c>
      <c r="E23" s="479" t="s">
        <v>101</v>
      </c>
      <c r="F23" s="480" t="s">
        <v>603</v>
      </c>
      <c r="G23" s="452" t="s">
        <v>604</v>
      </c>
      <c r="H23" s="481" t="s">
        <v>300</v>
      </c>
      <c r="I23" s="479"/>
      <c r="J23" s="482">
        <v>200000</v>
      </c>
      <c r="K23" s="347">
        <f t="shared" si="5"/>
        <v>0</v>
      </c>
      <c r="L23" s="347">
        <f t="shared" si="6"/>
        <v>200000</v>
      </c>
      <c r="M23" s="478"/>
      <c r="N23" s="478"/>
      <c r="O23" s="478"/>
      <c r="P23" s="347">
        <f t="shared" si="7"/>
        <v>200000</v>
      </c>
      <c r="Q23" s="483"/>
      <c r="R23" s="483">
        <v>200000</v>
      </c>
      <c r="S23" s="623" t="s">
        <v>605</v>
      </c>
      <c r="T23" s="709">
        <f t="shared" si="4"/>
        <v>0</v>
      </c>
      <c r="U23" s="709"/>
      <c r="V23" s="709">
        <v>1</v>
      </c>
      <c r="W23" s="709"/>
      <c r="X23" s="485"/>
      <c r="Y23" s="599"/>
    </row>
    <row r="24" spans="1:25" s="460" customFormat="1" ht="89.25" customHeight="1" outlineLevel="2">
      <c r="A24" s="254">
        <f>MAX(A$14:$A23)+1</f>
        <v>11</v>
      </c>
      <c r="B24" s="478" t="s">
        <v>606</v>
      </c>
      <c r="C24" s="555" t="s">
        <v>610</v>
      </c>
      <c r="D24" s="479" t="s">
        <v>101</v>
      </c>
      <c r="E24" s="479" t="s">
        <v>101</v>
      </c>
      <c r="F24" s="480" t="s">
        <v>607</v>
      </c>
      <c r="G24" s="452" t="s">
        <v>608</v>
      </c>
      <c r="H24" s="481" t="s">
        <v>212</v>
      </c>
      <c r="I24" s="479"/>
      <c r="J24" s="482">
        <v>200000</v>
      </c>
      <c r="K24" s="347">
        <f t="shared" si="5"/>
        <v>0</v>
      </c>
      <c r="L24" s="347">
        <f t="shared" si="6"/>
        <v>200000</v>
      </c>
      <c r="M24" s="482">
        <v>200000</v>
      </c>
      <c r="N24" s="482">
        <v>200000</v>
      </c>
      <c r="O24" s="482">
        <v>200000</v>
      </c>
      <c r="P24" s="347">
        <f t="shared" si="7"/>
        <v>200000</v>
      </c>
      <c r="Q24" s="483"/>
      <c r="R24" s="483">
        <v>200000</v>
      </c>
      <c r="S24" s="623" t="s">
        <v>609</v>
      </c>
      <c r="T24" s="709">
        <f t="shared" si="4"/>
        <v>0</v>
      </c>
      <c r="U24" s="709"/>
      <c r="V24" s="709">
        <v>1</v>
      </c>
      <c r="W24" s="709"/>
      <c r="X24" s="485"/>
      <c r="Y24" s="599"/>
    </row>
    <row r="25" spans="1:25" s="297" customFormat="1" ht="45" customHeight="1" outlineLevel="1">
      <c r="A25" s="323" t="s">
        <v>511</v>
      </c>
      <c r="B25" s="281" t="s">
        <v>344</v>
      </c>
      <c r="C25" s="393"/>
      <c r="D25" s="324"/>
      <c r="E25" s="324"/>
      <c r="F25" s="339"/>
      <c r="G25" s="339"/>
      <c r="H25" s="393"/>
      <c r="I25" s="324"/>
      <c r="J25" s="345">
        <f>SUM(J26:J34)</f>
        <v>2014030.08</v>
      </c>
      <c r="K25" s="345">
        <f t="shared" ref="K25:R25" si="8">SUM(K26:K34)</f>
        <v>700000</v>
      </c>
      <c r="L25" s="345">
        <f t="shared" si="8"/>
        <v>1314030.0800000001</v>
      </c>
      <c r="M25" s="345">
        <f t="shared" si="8"/>
        <v>0</v>
      </c>
      <c r="N25" s="345">
        <f t="shared" si="8"/>
        <v>0</v>
      </c>
      <c r="O25" s="345">
        <f t="shared" si="8"/>
        <v>8219</v>
      </c>
      <c r="P25" s="345">
        <f>SUM(P26:P34)</f>
        <v>1667000</v>
      </c>
      <c r="Q25" s="345">
        <f>SUM(Q26:Q34)</f>
        <v>700000</v>
      </c>
      <c r="R25" s="345">
        <f t="shared" si="8"/>
        <v>967000</v>
      </c>
      <c r="S25" s="624"/>
      <c r="T25" s="709"/>
      <c r="U25" s="709"/>
      <c r="V25" s="709"/>
      <c r="W25" s="709"/>
      <c r="X25" s="320"/>
    </row>
    <row r="26" spans="1:25" s="297" customFormat="1" ht="63.75" customHeight="1" outlineLevel="2">
      <c r="A26" s="276">
        <f>MAX(A$14:$A25)+1</f>
        <v>12</v>
      </c>
      <c r="B26" s="356" t="s">
        <v>408</v>
      </c>
      <c r="C26" s="591" t="s">
        <v>594</v>
      </c>
      <c r="D26" s="357" t="s">
        <v>101</v>
      </c>
      <c r="E26" s="357" t="s">
        <v>101</v>
      </c>
      <c r="F26" s="359" t="s">
        <v>304</v>
      </c>
      <c r="G26" s="359" t="s">
        <v>409</v>
      </c>
      <c r="H26" s="397" t="s">
        <v>300</v>
      </c>
      <c r="I26" s="398"/>
      <c r="J26" s="399">
        <v>220000</v>
      </c>
      <c r="K26" s="543">
        <f t="shared" ref="K26:K34" si="9">Q26</f>
        <v>200000</v>
      </c>
      <c r="L26" s="543">
        <f t="shared" ref="L26:L34" si="10">J26-K26</f>
        <v>20000</v>
      </c>
      <c r="M26" s="399"/>
      <c r="N26" s="399"/>
      <c r="O26" s="399"/>
      <c r="P26" s="543">
        <f>Q26+R26</f>
        <v>220000</v>
      </c>
      <c r="Q26" s="399">
        <v>200000</v>
      </c>
      <c r="R26" s="399">
        <v>20000</v>
      </c>
      <c r="S26" s="605" t="s">
        <v>410</v>
      </c>
      <c r="T26" s="709">
        <f t="shared" si="4"/>
        <v>0</v>
      </c>
      <c r="U26" s="709"/>
      <c r="V26" s="709">
        <v>1</v>
      </c>
      <c r="W26" s="709"/>
      <c r="X26" s="396"/>
    </row>
    <row r="27" spans="1:25" s="297" customFormat="1" ht="82.5" customHeight="1" outlineLevel="2">
      <c r="A27" s="276">
        <f>MAX(A$14:$A26)+1</f>
        <v>13</v>
      </c>
      <c r="B27" s="638" t="s">
        <v>943</v>
      </c>
      <c r="C27" s="591" t="s">
        <v>594</v>
      </c>
      <c r="D27" s="349" t="s">
        <v>101</v>
      </c>
      <c r="E27" s="349" t="s">
        <v>101</v>
      </c>
      <c r="F27" s="358" t="s">
        <v>270</v>
      </c>
      <c r="G27" s="358" t="s">
        <v>412</v>
      </c>
      <c r="H27" s="391" t="s">
        <v>211</v>
      </c>
      <c r="I27" s="349"/>
      <c r="J27" s="399">
        <v>500000</v>
      </c>
      <c r="K27" s="543">
        <f>Q27</f>
        <v>500000</v>
      </c>
      <c r="L27" s="543"/>
      <c r="M27" s="399"/>
      <c r="N27" s="399"/>
      <c r="O27" s="399"/>
      <c r="P27" s="543">
        <f t="shared" ref="P27:P34" si="11">Q27+R27</f>
        <v>500000</v>
      </c>
      <c r="Q27" s="399">
        <v>500000</v>
      </c>
      <c r="R27" s="399"/>
      <c r="S27" s="605" t="s">
        <v>413</v>
      </c>
      <c r="T27" s="709">
        <f t="shared" si="4"/>
        <v>0</v>
      </c>
      <c r="U27" s="709"/>
      <c r="V27" s="709">
        <v>1</v>
      </c>
      <c r="W27" s="709"/>
      <c r="X27" s="402"/>
    </row>
    <row r="28" spans="1:25" s="297" customFormat="1" ht="104.25" customHeight="1" outlineLevel="2">
      <c r="A28" s="276">
        <f>MAX(A$14:$A27)+1</f>
        <v>14</v>
      </c>
      <c r="B28" s="355" t="s">
        <v>345</v>
      </c>
      <c r="C28" s="591" t="s">
        <v>594</v>
      </c>
      <c r="D28" s="349" t="s">
        <v>101</v>
      </c>
      <c r="E28" s="349" t="s">
        <v>101</v>
      </c>
      <c r="F28" s="358" t="s">
        <v>923</v>
      </c>
      <c r="G28" s="377" t="s">
        <v>347</v>
      </c>
      <c r="H28" s="391" t="s">
        <v>879</v>
      </c>
      <c r="I28" s="349" t="s">
        <v>348</v>
      </c>
      <c r="J28" s="543">
        <v>544000</v>
      </c>
      <c r="K28" s="543">
        <f t="shared" si="9"/>
        <v>0</v>
      </c>
      <c r="L28" s="543">
        <f t="shared" si="10"/>
        <v>544000</v>
      </c>
      <c r="M28" s="544"/>
      <c r="N28" s="544"/>
      <c r="O28" s="543">
        <v>8219</v>
      </c>
      <c r="P28" s="543">
        <f t="shared" si="11"/>
        <v>504000</v>
      </c>
      <c r="Q28" s="543">
        <v>0</v>
      </c>
      <c r="R28" s="543">
        <v>504000</v>
      </c>
      <c r="S28" s="605" t="s">
        <v>349</v>
      </c>
      <c r="T28" s="709">
        <f t="shared" si="4"/>
        <v>40000</v>
      </c>
      <c r="U28" s="709"/>
      <c r="V28" s="709">
        <v>1</v>
      </c>
      <c r="W28" s="709"/>
      <c r="X28" s="333"/>
    </row>
    <row r="29" spans="1:25" s="297" customFormat="1" ht="60" customHeight="1" outlineLevel="2">
      <c r="A29" s="276">
        <f>MAX(A$14:$A28)+1</f>
        <v>15</v>
      </c>
      <c r="B29" s="355" t="s">
        <v>350</v>
      </c>
      <c r="C29" s="591" t="s">
        <v>594</v>
      </c>
      <c r="D29" s="349" t="s">
        <v>101</v>
      </c>
      <c r="E29" s="349" t="s">
        <v>101</v>
      </c>
      <c r="F29" s="358" t="s">
        <v>351</v>
      </c>
      <c r="G29" s="358" t="s">
        <v>352</v>
      </c>
      <c r="H29" s="391" t="s">
        <v>879</v>
      </c>
      <c r="I29" s="349"/>
      <c r="J29" s="543">
        <v>250000</v>
      </c>
      <c r="K29" s="543">
        <f t="shared" si="9"/>
        <v>0</v>
      </c>
      <c r="L29" s="543">
        <f t="shared" si="10"/>
        <v>250000</v>
      </c>
      <c r="M29" s="544"/>
      <c r="N29" s="544"/>
      <c r="O29" s="544"/>
      <c r="P29" s="543">
        <f t="shared" si="11"/>
        <v>250000</v>
      </c>
      <c r="Q29" s="543"/>
      <c r="R29" s="543">
        <v>250000</v>
      </c>
      <c r="S29" s="605"/>
      <c r="T29" s="709">
        <f t="shared" si="4"/>
        <v>0</v>
      </c>
      <c r="U29" s="709"/>
      <c r="V29" s="709">
        <v>1</v>
      </c>
      <c r="W29" s="709"/>
      <c r="X29" s="333"/>
    </row>
    <row r="30" spans="1:25" s="297" customFormat="1" ht="51" outlineLevel="2">
      <c r="A30" s="276">
        <f>MAX(A$14:$A29)+1</f>
        <v>16</v>
      </c>
      <c r="B30" s="364" t="s">
        <v>595</v>
      </c>
      <c r="C30" s="591" t="s">
        <v>594</v>
      </c>
      <c r="D30" s="365" t="s">
        <v>173</v>
      </c>
      <c r="E30" s="365" t="s">
        <v>173</v>
      </c>
      <c r="F30" s="366" t="s">
        <v>209</v>
      </c>
      <c r="G30" s="366" t="s">
        <v>364</v>
      </c>
      <c r="H30" s="391">
        <v>2026</v>
      </c>
      <c r="I30" s="365"/>
      <c r="J30" s="543">
        <v>20000</v>
      </c>
      <c r="K30" s="543">
        <f t="shared" si="9"/>
        <v>0</v>
      </c>
      <c r="L30" s="543">
        <f t="shared" si="10"/>
        <v>20000</v>
      </c>
      <c r="M30" s="547"/>
      <c r="N30" s="547"/>
      <c r="O30" s="547"/>
      <c r="P30" s="543">
        <f t="shared" si="11"/>
        <v>20000</v>
      </c>
      <c r="Q30" s="543">
        <v>0</v>
      </c>
      <c r="R30" s="546">
        <v>20000</v>
      </c>
      <c r="S30" s="605" t="s">
        <v>365</v>
      </c>
      <c r="T30" s="709">
        <f t="shared" si="4"/>
        <v>0</v>
      </c>
      <c r="U30" s="709"/>
      <c r="V30" s="709">
        <v>1</v>
      </c>
      <c r="W30" s="709"/>
      <c r="X30" s="333"/>
    </row>
    <row r="31" spans="1:25" s="297" customFormat="1" ht="51" outlineLevel="2">
      <c r="A31" s="276">
        <f>MAX(A$14:$A30)+1</f>
        <v>17</v>
      </c>
      <c r="B31" s="355" t="s">
        <v>366</v>
      </c>
      <c r="C31" s="591" t="s">
        <v>594</v>
      </c>
      <c r="D31" s="365" t="s">
        <v>173</v>
      </c>
      <c r="E31" s="365" t="s">
        <v>173</v>
      </c>
      <c r="F31" s="358" t="s">
        <v>367</v>
      </c>
      <c r="G31" s="366" t="s">
        <v>368</v>
      </c>
      <c r="H31" s="391">
        <v>2026</v>
      </c>
      <c r="I31" s="349"/>
      <c r="J31" s="543">
        <v>45000</v>
      </c>
      <c r="K31" s="543">
        <f t="shared" si="9"/>
        <v>0</v>
      </c>
      <c r="L31" s="543">
        <f t="shared" si="10"/>
        <v>45000</v>
      </c>
      <c r="M31" s="544"/>
      <c r="N31" s="544"/>
      <c r="O31" s="544"/>
      <c r="P31" s="543">
        <f t="shared" si="11"/>
        <v>45000</v>
      </c>
      <c r="Q31" s="543">
        <v>0</v>
      </c>
      <c r="R31" s="543">
        <v>45000</v>
      </c>
      <c r="S31" s="605" t="s">
        <v>369</v>
      </c>
      <c r="T31" s="709">
        <f t="shared" si="4"/>
        <v>0</v>
      </c>
      <c r="U31" s="709"/>
      <c r="V31" s="709">
        <v>1</v>
      </c>
      <c r="W31" s="709"/>
      <c r="X31" s="333"/>
    </row>
    <row r="32" spans="1:25" s="460" customFormat="1" ht="51" outlineLevel="2">
      <c r="A32" s="276">
        <f>MAX(A$14:$A31)+1</f>
        <v>18</v>
      </c>
      <c r="B32" s="590" t="s">
        <v>472</v>
      </c>
      <c r="C32" s="591" t="s">
        <v>594</v>
      </c>
      <c r="D32" s="592" t="s">
        <v>173</v>
      </c>
      <c r="E32" s="592" t="s">
        <v>173</v>
      </c>
      <c r="F32" s="593" t="s">
        <v>473</v>
      </c>
      <c r="G32" s="594" t="s">
        <v>474</v>
      </c>
      <c r="H32" s="595" t="s">
        <v>330</v>
      </c>
      <c r="I32" s="592"/>
      <c r="J32" s="596">
        <v>28000</v>
      </c>
      <c r="K32" s="543">
        <f t="shared" si="9"/>
        <v>0</v>
      </c>
      <c r="L32" s="543">
        <f t="shared" si="10"/>
        <v>28000</v>
      </c>
      <c r="M32" s="597"/>
      <c r="N32" s="597"/>
      <c r="O32" s="597"/>
      <c r="P32" s="543">
        <f t="shared" si="11"/>
        <v>28000</v>
      </c>
      <c r="Q32" s="596"/>
      <c r="R32" s="596">
        <v>28000</v>
      </c>
      <c r="S32" s="625"/>
      <c r="T32" s="709">
        <f t="shared" si="4"/>
        <v>0</v>
      </c>
      <c r="U32" s="709"/>
      <c r="V32" s="709">
        <v>1</v>
      </c>
      <c r="W32" s="709"/>
      <c r="X32" s="582"/>
    </row>
    <row r="33" spans="1:24" s="297" customFormat="1" ht="60" outlineLevel="2">
      <c r="A33" s="276">
        <f>MAX(A$14:$A32)+1</f>
        <v>19</v>
      </c>
      <c r="B33" s="355" t="s">
        <v>370</v>
      </c>
      <c r="C33" s="591" t="s">
        <v>594</v>
      </c>
      <c r="D33" s="349" t="s">
        <v>101</v>
      </c>
      <c r="E33" s="349" t="s">
        <v>101</v>
      </c>
      <c r="F33" s="358" t="s">
        <v>371</v>
      </c>
      <c r="G33" s="358" t="s">
        <v>372</v>
      </c>
      <c r="H33" s="391" t="s">
        <v>922</v>
      </c>
      <c r="I33" s="367"/>
      <c r="J33" s="543">
        <v>257030.08000000002</v>
      </c>
      <c r="K33" s="543">
        <f t="shared" si="9"/>
        <v>0</v>
      </c>
      <c r="L33" s="543">
        <f t="shared" si="10"/>
        <v>257030.08000000002</v>
      </c>
      <c r="M33" s="543">
        <v>0</v>
      </c>
      <c r="N33" s="543">
        <v>0</v>
      </c>
      <c r="O33" s="543">
        <v>0</v>
      </c>
      <c r="P33" s="543">
        <f t="shared" si="11"/>
        <v>50000</v>
      </c>
      <c r="Q33" s="543">
        <v>0</v>
      </c>
      <c r="R33" s="543">
        <v>50000</v>
      </c>
      <c r="S33" s="605"/>
      <c r="T33" s="713">
        <f t="shared" si="4"/>
        <v>207030.08000000002</v>
      </c>
      <c r="U33" s="713">
        <v>1</v>
      </c>
      <c r="V33" s="709"/>
      <c r="W33" s="709"/>
      <c r="X33" s="333"/>
    </row>
    <row r="34" spans="1:24" s="297" customFormat="1" ht="108.75" customHeight="1" outlineLevel="2">
      <c r="A34" s="276">
        <f>MAX(A$14:$A33)+1</f>
        <v>20</v>
      </c>
      <c r="B34" s="355" t="s">
        <v>863</v>
      </c>
      <c r="C34" s="591" t="s">
        <v>594</v>
      </c>
      <c r="D34" s="349" t="s">
        <v>101</v>
      </c>
      <c r="E34" s="349" t="s">
        <v>173</v>
      </c>
      <c r="F34" s="358" t="s">
        <v>864</v>
      </c>
      <c r="G34" s="358" t="s">
        <v>379</v>
      </c>
      <c r="H34" s="391" t="s">
        <v>924</v>
      </c>
      <c r="I34" s="368"/>
      <c r="J34" s="543">
        <v>150000</v>
      </c>
      <c r="K34" s="543">
        <f t="shared" si="9"/>
        <v>0</v>
      </c>
      <c r="L34" s="543">
        <f t="shared" si="10"/>
        <v>150000</v>
      </c>
      <c r="M34" s="549"/>
      <c r="N34" s="549"/>
      <c r="O34" s="549"/>
      <c r="P34" s="543">
        <f t="shared" si="11"/>
        <v>50000</v>
      </c>
      <c r="Q34" s="548"/>
      <c r="R34" s="543">
        <v>50000</v>
      </c>
      <c r="S34" s="605"/>
      <c r="T34" s="713">
        <f t="shared" si="4"/>
        <v>100000</v>
      </c>
      <c r="U34" s="713">
        <v>1</v>
      </c>
      <c r="V34" s="709"/>
      <c r="W34" s="709"/>
      <c r="X34" s="333"/>
    </row>
    <row r="35" spans="1:24" s="297" customFormat="1" ht="30.75" customHeight="1">
      <c r="A35" s="527" t="s">
        <v>836</v>
      </c>
      <c r="B35" s="298" t="s">
        <v>175</v>
      </c>
      <c r="C35" s="394"/>
      <c r="D35" s="343"/>
      <c r="E35" s="343"/>
      <c r="F35" s="344"/>
      <c r="G35" s="344"/>
      <c r="H35" s="394"/>
      <c r="I35" s="343"/>
      <c r="J35" s="346">
        <f t="shared" ref="J35:R35" si="12">J36+J54+J81+J85+J90</f>
        <v>5674000</v>
      </c>
      <c r="K35" s="346">
        <f t="shared" si="12"/>
        <v>1070000</v>
      </c>
      <c r="L35" s="346">
        <f t="shared" si="12"/>
        <v>4604000</v>
      </c>
      <c r="M35" s="346">
        <f t="shared" si="12"/>
        <v>0</v>
      </c>
      <c r="N35" s="346">
        <f t="shared" si="12"/>
        <v>0</v>
      </c>
      <c r="O35" s="346">
        <f t="shared" si="12"/>
        <v>0</v>
      </c>
      <c r="P35" s="346">
        <f t="shared" si="12"/>
        <v>3834600</v>
      </c>
      <c r="Q35" s="346">
        <f t="shared" si="12"/>
        <v>1070000</v>
      </c>
      <c r="R35" s="346">
        <f t="shared" si="12"/>
        <v>2764600</v>
      </c>
      <c r="S35" s="626"/>
      <c r="T35" s="709"/>
      <c r="U35" s="709"/>
      <c r="V35" s="709"/>
      <c r="W35" s="709"/>
    </row>
    <row r="36" spans="1:24" s="297" customFormat="1" ht="21" customHeight="1" outlineLevel="1">
      <c r="A36" s="323"/>
      <c r="B36" s="281" t="s">
        <v>479</v>
      </c>
      <c r="C36" s="393"/>
      <c r="D36" s="324"/>
      <c r="E36" s="324"/>
      <c r="F36" s="339"/>
      <c r="G36" s="339"/>
      <c r="H36" s="393"/>
      <c r="I36" s="324"/>
      <c r="J36" s="345">
        <f>SUM(J37:J53)</f>
        <v>1660000</v>
      </c>
      <c r="K36" s="345">
        <f t="shared" ref="K36:R36" si="13">SUM(K37:K53)</f>
        <v>570000</v>
      </c>
      <c r="L36" s="345">
        <f t="shared" si="13"/>
        <v>1090000</v>
      </c>
      <c r="M36" s="345">
        <f t="shared" si="13"/>
        <v>0</v>
      </c>
      <c r="N36" s="345">
        <f t="shared" si="13"/>
        <v>0</v>
      </c>
      <c r="O36" s="345">
        <f t="shared" si="13"/>
        <v>0</v>
      </c>
      <c r="P36" s="345">
        <f>SUM(P37:P53)</f>
        <v>1532000</v>
      </c>
      <c r="Q36" s="345">
        <f>SUM(Q37:Q53)</f>
        <v>570000</v>
      </c>
      <c r="R36" s="345">
        <f t="shared" si="13"/>
        <v>962000</v>
      </c>
      <c r="S36" s="624"/>
      <c r="T36" s="709"/>
      <c r="U36" s="709"/>
      <c r="V36" s="709"/>
      <c r="W36" s="709"/>
      <c r="X36" s="320">
        <f>J36-[3]Sheet1!$J$17</f>
        <v>0</v>
      </c>
    </row>
    <row r="37" spans="1:24" s="460" customFormat="1" ht="60" outlineLevel="2">
      <c r="A37" s="276">
        <f>MAX(A$14:$A36)+1</f>
        <v>21</v>
      </c>
      <c r="B37" s="268" t="s">
        <v>203</v>
      </c>
      <c r="C37" s="558" t="s">
        <v>208</v>
      </c>
      <c r="D37" s="276" t="str">
        <f>IF(J37&gt;=45000,"B","C")</f>
        <v>B</v>
      </c>
      <c r="E37" s="276" t="str">
        <f>IF(K37&gt;=45000,"B","C")</f>
        <v>B</v>
      </c>
      <c r="F37" s="340" t="s">
        <v>209</v>
      </c>
      <c r="G37" s="340" t="s">
        <v>905</v>
      </c>
      <c r="H37" s="558" t="s">
        <v>211</v>
      </c>
      <c r="I37" s="276"/>
      <c r="J37" s="610">
        <v>150000</v>
      </c>
      <c r="K37" s="610">
        <f>Q37</f>
        <v>120000</v>
      </c>
      <c r="L37" s="610">
        <f>J37-K37</f>
        <v>30000</v>
      </c>
      <c r="M37" s="277"/>
      <c r="N37" s="98"/>
      <c r="O37" s="98"/>
      <c r="P37" s="610">
        <f>Q37+R37</f>
        <v>135000</v>
      </c>
      <c r="Q37" s="610">
        <v>120000</v>
      </c>
      <c r="R37" s="610">
        <v>15000</v>
      </c>
      <c r="S37" s="627"/>
      <c r="T37" s="709">
        <f t="shared" si="4"/>
        <v>15000</v>
      </c>
      <c r="U37" s="709"/>
      <c r="V37" s="709">
        <v>1</v>
      </c>
      <c r="W37" s="709"/>
      <c r="X37" s="600">
        <f>R37/J37</f>
        <v>0.1</v>
      </c>
    </row>
    <row r="38" spans="1:24" s="460" customFormat="1" ht="87.75" customHeight="1" outlineLevel="2">
      <c r="A38" s="276">
        <f>MAX(A$14:$A37)+1</f>
        <v>22</v>
      </c>
      <c r="B38" s="268" t="s">
        <v>204</v>
      </c>
      <c r="C38" s="558" t="s">
        <v>208</v>
      </c>
      <c r="D38" s="276" t="str">
        <f t="shared" ref="D38:E79" si="14">IF(J38&gt;=45000,"B","C")</f>
        <v>B</v>
      </c>
      <c r="E38" s="276" t="str">
        <f t="shared" si="14"/>
        <v>B</v>
      </c>
      <c r="F38" s="340" t="s">
        <v>209</v>
      </c>
      <c r="G38" s="340" t="s">
        <v>214</v>
      </c>
      <c r="H38" s="558" t="s">
        <v>211</v>
      </c>
      <c r="I38" s="611"/>
      <c r="J38" s="612">
        <v>300000</v>
      </c>
      <c r="K38" s="610">
        <f t="shared" ref="K38:K53" si="15">Q38</f>
        <v>250000</v>
      </c>
      <c r="L38" s="612">
        <f t="shared" ref="L38:L53" si="16">J38-K38</f>
        <v>50000</v>
      </c>
      <c r="M38" s="613"/>
      <c r="N38" s="613"/>
      <c r="O38" s="613"/>
      <c r="P38" s="610">
        <f t="shared" ref="P38:P53" si="17">Q38+R38</f>
        <v>270000</v>
      </c>
      <c r="Q38" s="610">
        <v>250000</v>
      </c>
      <c r="R38" s="612">
        <v>20000</v>
      </c>
      <c r="S38" s="628"/>
      <c r="T38" s="709">
        <f t="shared" si="4"/>
        <v>30000</v>
      </c>
      <c r="U38" s="709"/>
      <c r="V38" s="709">
        <v>1</v>
      </c>
      <c r="W38" s="709"/>
      <c r="X38" s="600">
        <f t="shared" ref="X38:X91" si="18">R38/J38</f>
        <v>6.6666666666666666E-2</v>
      </c>
    </row>
    <row r="39" spans="1:24" s="297" customFormat="1" ht="51" outlineLevel="2">
      <c r="A39" s="276">
        <f>MAX(A$14:$A38)+1</f>
        <v>23</v>
      </c>
      <c r="B39" s="268" t="s">
        <v>239</v>
      </c>
      <c r="C39" s="558" t="s">
        <v>208</v>
      </c>
      <c r="D39" s="276" t="str">
        <f>IF(J39&gt;=45000,"B","C")</f>
        <v>B</v>
      </c>
      <c r="E39" s="276" t="s">
        <v>101</v>
      </c>
      <c r="F39" s="340" t="s">
        <v>238</v>
      </c>
      <c r="G39" s="340"/>
      <c r="H39" s="558" t="s">
        <v>428</v>
      </c>
      <c r="I39" s="616"/>
      <c r="J39" s="612">
        <v>200000</v>
      </c>
      <c r="K39" s="610">
        <f>Q39</f>
        <v>200000</v>
      </c>
      <c r="L39" s="612">
        <f>J39-K39</f>
        <v>0</v>
      </c>
      <c r="M39" s="612"/>
      <c r="N39" s="612"/>
      <c r="O39" s="612"/>
      <c r="P39" s="610">
        <f>Q39+R39</f>
        <v>200000</v>
      </c>
      <c r="Q39" s="612">
        <v>200000</v>
      </c>
      <c r="R39" s="612"/>
      <c r="S39" s="617" t="s">
        <v>882</v>
      </c>
      <c r="T39" s="709">
        <f t="shared" si="4"/>
        <v>0</v>
      </c>
      <c r="U39" s="709"/>
      <c r="V39" s="709">
        <v>1</v>
      </c>
      <c r="W39" s="709"/>
      <c r="X39" s="600">
        <f>R39/J39</f>
        <v>0</v>
      </c>
    </row>
    <row r="40" spans="1:24" s="460" customFormat="1" ht="123.75" customHeight="1" outlineLevel="2">
      <c r="A40" s="276">
        <f>MAX(A$14:$A39)+1</f>
        <v>24</v>
      </c>
      <c r="B40" s="268" t="s">
        <v>216</v>
      </c>
      <c r="C40" s="558" t="s">
        <v>208</v>
      </c>
      <c r="D40" s="276" t="str">
        <f>IF(J40&gt;=45000,"B","C")</f>
        <v>B</v>
      </c>
      <c r="E40" s="276" t="s">
        <v>101</v>
      </c>
      <c r="F40" s="340" t="s">
        <v>217</v>
      </c>
      <c r="G40" s="340"/>
      <c r="H40" s="558" t="s">
        <v>211</v>
      </c>
      <c r="I40" s="611"/>
      <c r="J40" s="612">
        <v>150000</v>
      </c>
      <c r="K40" s="610">
        <f>Q40</f>
        <v>0</v>
      </c>
      <c r="L40" s="612">
        <f>J40-K40</f>
        <v>150000</v>
      </c>
      <c r="M40" s="613"/>
      <c r="N40" s="613"/>
      <c r="O40" s="613"/>
      <c r="P40" s="610">
        <v>135000</v>
      </c>
      <c r="Q40" s="612"/>
      <c r="R40" s="612">
        <f>P40</f>
        <v>135000</v>
      </c>
      <c r="S40" s="628"/>
      <c r="T40" s="709">
        <f t="shared" si="4"/>
        <v>15000</v>
      </c>
      <c r="U40" s="709"/>
      <c r="V40" s="709">
        <v>1</v>
      </c>
      <c r="W40" s="709"/>
      <c r="X40" s="600">
        <f>R40/J40</f>
        <v>0.9</v>
      </c>
    </row>
    <row r="41" spans="1:24" s="297" customFormat="1" ht="90" outlineLevel="2">
      <c r="A41" s="276">
        <f>MAX(A$14:$A40)+1</f>
        <v>25</v>
      </c>
      <c r="B41" s="268" t="s">
        <v>222</v>
      </c>
      <c r="C41" s="558" t="s">
        <v>208</v>
      </c>
      <c r="D41" s="276" t="str">
        <f>IF(J41&gt;=45000,"B","C")</f>
        <v>B</v>
      </c>
      <c r="E41" s="276" t="s">
        <v>101</v>
      </c>
      <c r="F41" s="340" t="s">
        <v>223</v>
      </c>
      <c r="G41" s="340"/>
      <c r="H41" s="558" t="s">
        <v>211</v>
      </c>
      <c r="I41" s="615"/>
      <c r="J41" s="612">
        <v>100000</v>
      </c>
      <c r="K41" s="610">
        <f>Q41</f>
        <v>0</v>
      </c>
      <c r="L41" s="612">
        <f>J41-K41</f>
        <v>100000</v>
      </c>
      <c r="M41" s="613"/>
      <c r="N41" s="613"/>
      <c r="O41" s="613"/>
      <c r="P41" s="610">
        <v>99000</v>
      </c>
      <c r="Q41" s="612"/>
      <c r="R41" s="612">
        <f>P41</f>
        <v>99000</v>
      </c>
      <c r="S41" s="629"/>
      <c r="T41" s="709">
        <f t="shared" si="4"/>
        <v>1000</v>
      </c>
      <c r="U41" s="709"/>
      <c r="V41" s="709">
        <v>1</v>
      </c>
      <c r="W41" s="709"/>
      <c r="X41" s="600">
        <f>R41/J41</f>
        <v>0.99</v>
      </c>
    </row>
    <row r="42" spans="1:24" s="297" customFormat="1" ht="106.5" customHeight="1" outlineLevel="2">
      <c r="A42" s="276">
        <f>MAX(A$14:$A41)+1</f>
        <v>26</v>
      </c>
      <c r="B42" s="268" t="s">
        <v>224</v>
      </c>
      <c r="C42" s="558" t="s">
        <v>208</v>
      </c>
      <c r="D42" s="276" t="str">
        <f>IF(J42&gt;=45000,"B","C")</f>
        <v>B</v>
      </c>
      <c r="E42" s="276" t="s">
        <v>101</v>
      </c>
      <c r="F42" s="340" t="s">
        <v>225</v>
      </c>
      <c r="G42" s="340"/>
      <c r="H42" s="558" t="s">
        <v>211</v>
      </c>
      <c r="I42" s="616"/>
      <c r="J42" s="612">
        <v>100000</v>
      </c>
      <c r="K42" s="610">
        <f>Q42</f>
        <v>0</v>
      </c>
      <c r="L42" s="612">
        <f>J42-K42</f>
        <v>100000</v>
      </c>
      <c r="M42" s="612"/>
      <c r="N42" s="612"/>
      <c r="O42" s="612"/>
      <c r="P42" s="610">
        <v>99000</v>
      </c>
      <c r="Q42" s="612"/>
      <c r="R42" s="612">
        <f>P42</f>
        <v>99000</v>
      </c>
      <c r="S42" s="622"/>
      <c r="T42" s="709">
        <f t="shared" si="4"/>
        <v>1000</v>
      </c>
      <c r="U42" s="709"/>
      <c r="V42" s="709">
        <v>1</v>
      </c>
      <c r="W42" s="709"/>
      <c r="X42" s="600">
        <f>R42/J42</f>
        <v>0.99</v>
      </c>
    </row>
    <row r="43" spans="1:24" s="297" customFormat="1" ht="105" outlineLevel="2">
      <c r="A43" s="276">
        <f>MAX(A$14:$A42)+1</f>
        <v>27</v>
      </c>
      <c r="B43" s="268" t="s">
        <v>218</v>
      </c>
      <c r="C43" s="558" t="s">
        <v>208</v>
      </c>
      <c r="D43" s="276" t="str">
        <f>IF(J43&gt;=45000,"B","C")</f>
        <v>B</v>
      </c>
      <c r="E43" s="276" t="s">
        <v>101</v>
      </c>
      <c r="F43" s="340" t="s">
        <v>219</v>
      </c>
      <c r="G43" s="340"/>
      <c r="H43" s="558" t="s">
        <v>211</v>
      </c>
      <c r="I43" s="611"/>
      <c r="J43" s="612">
        <v>100000</v>
      </c>
      <c r="K43" s="610">
        <f>Q43</f>
        <v>0</v>
      </c>
      <c r="L43" s="612">
        <f>J43-K43</f>
        <v>100000</v>
      </c>
      <c r="M43" s="613"/>
      <c r="N43" s="613"/>
      <c r="O43" s="613"/>
      <c r="P43" s="610">
        <v>90000</v>
      </c>
      <c r="Q43" s="612"/>
      <c r="R43" s="612">
        <f>P43</f>
        <v>90000</v>
      </c>
      <c r="S43" s="628"/>
      <c r="T43" s="709">
        <f t="shared" si="4"/>
        <v>10000</v>
      </c>
      <c r="U43" s="709"/>
      <c r="V43" s="709">
        <v>1</v>
      </c>
      <c r="W43" s="709"/>
      <c r="X43" s="600">
        <f>R43/J43</f>
        <v>0.9</v>
      </c>
    </row>
    <row r="44" spans="1:24" s="297" customFormat="1" ht="90" outlineLevel="2">
      <c r="A44" s="276">
        <f>MAX(A$14:$A43)+1</f>
        <v>28</v>
      </c>
      <c r="B44" s="268" t="s">
        <v>205</v>
      </c>
      <c r="C44" s="558" t="s">
        <v>208</v>
      </c>
      <c r="D44" s="276" t="str">
        <f t="shared" si="14"/>
        <v>B</v>
      </c>
      <c r="E44" s="276" t="s">
        <v>173</v>
      </c>
      <c r="F44" s="340" t="s">
        <v>209</v>
      </c>
      <c r="G44" s="340" t="s">
        <v>214</v>
      </c>
      <c r="H44" s="558" t="s">
        <v>212</v>
      </c>
      <c r="I44" s="611"/>
      <c r="J44" s="612">
        <v>50000</v>
      </c>
      <c r="K44" s="610">
        <f t="shared" si="15"/>
        <v>0</v>
      </c>
      <c r="L44" s="612">
        <f t="shared" si="16"/>
        <v>50000</v>
      </c>
      <c r="M44" s="613"/>
      <c r="N44" s="613"/>
      <c r="O44" s="613"/>
      <c r="P44" s="610">
        <f t="shared" si="17"/>
        <v>45000</v>
      </c>
      <c r="Q44" s="610"/>
      <c r="R44" s="612">
        <v>45000</v>
      </c>
      <c r="S44" s="614"/>
      <c r="T44" s="709">
        <f t="shared" si="4"/>
        <v>5000</v>
      </c>
      <c r="U44" s="709"/>
      <c r="V44" s="709">
        <v>1</v>
      </c>
      <c r="W44" s="709"/>
      <c r="X44" s="600">
        <f t="shared" si="18"/>
        <v>0.9</v>
      </c>
    </row>
    <row r="45" spans="1:24" s="297" customFormat="1" ht="47.25" customHeight="1" outlineLevel="2">
      <c r="A45" s="276">
        <f>MAX(A$14:$A44)+1</f>
        <v>29</v>
      </c>
      <c r="B45" s="268" t="s">
        <v>206</v>
      </c>
      <c r="C45" s="558" t="s">
        <v>208</v>
      </c>
      <c r="D45" s="276" t="str">
        <f t="shared" si="14"/>
        <v>B</v>
      </c>
      <c r="E45" s="276" t="s">
        <v>173</v>
      </c>
      <c r="F45" s="340" t="s">
        <v>209</v>
      </c>
      <c r="G45" s="340" t="s">
        <v>214</v>
      </c>
      <c r="H45" s="558" t="s">
        <v>212</v>
      </c>
      <c r="I45" s="611"/>
      <c r="J45" s="612">
        <v>50000</v>
      </c>
      <c r="K45" s="610">
        <f t="shared" si="15"/>
        <v>0</v>
      </c>
      <c r="L45" s="612">
        <f t="shared" si="16"/>
        <v>50000</v>
      </c>
      <c r="M45" s="613"/>
      <c r="N45" s="613"/>
      <c r="O45" s="613"/>
      <c r="P45" s="610">
        <f t="shared" si="17"/>
        <v>45000</v>
      </c>
      <c r="Q45" s="610"/>
      <c r="R45" s="612">
        <v>45000</v>
      </c>
      <c r="S45" s="614"/>
      <c r="T45" s="709">
        <f t="shared" si="4"/>
        <v>5000</v>
      </c>
      <c r="U45" s="709"/>
      <c r="V45" s="709">
        <v>1</v>
      </c>
      <c r="W45" s="709"/>
      <c r="X45" s="600">
        <f t="shared" si="18"/>
        <v>0.9</v>
      </c>
    </row>
    <row r="46" spans="1:24" s="297" customFormat="1" ht="90" outlineLevel="2">
      <c r="A46" s="276">
        <f>MAX(A$14:$A45)+1</f>
        <v>30</v>
      </c>
      <c r="B46" s="268" t="s">
        <v>207</v>
      </c>
      <c r="C46" s="558" t="s">
        <v>208</v>
      </c>
      <c r="D46" s="276" t="str">
        <f t="shared" si="14"/>
        <v>B</v>
      </c>
      <c r="E46" s="276" t="s">
        <v>173</v>
      </c>
      <c r="F46" s="340" t="s">
        <v>209</v>
      </c>
      <c r="G46" s="340" t="s">
        <v>215</v>
      </c>
      <c r="H46" s="558" t="s">
        <v>212</v>
      </c>
      <c r="I46" s="611"/>
      <c r="J46" s="612">
        <v>50000</v>
      </c>
      <c r="K46" s="610">
        <f t="shared" si="15"/>
        <v>0</v>
      </c>
      <c r="L46" s="612">
        <f t="shared" si="16"/>
        <v>50000</v>
      </c>
      <c r="M46" s="613"/>
      <c r="N46" s="613"/>
      <c r="O46" s="613"/>
      <c r="P46" s="610">
        <f t="shared" si="17"/>
        <v>45000</v>
      </c>
      <c r="Q46" s="610"/>
      <c r="R46" s="612">
        <v>45000</v>
      </c>
      <c r="S46" s="614"/>
      <c r="T46" s="709">
        <f t="shared" si="4"/>
        <v>5000</v>
      </c>
      <c r="U46" s="709"/>
      <c r="V46" s="709">
        <v>1</v>
      </c>
      <c r="W46" s="709"/>
      <c r="X46" s="600">
        <f t="shared" si="18"/>
        <v>0.9</v>
      </c>
    </row>
    <row r="47" spans="1:24" s="297" customFormat="1" ht="90" outlineLevel="2">
      <c r="A47" s="276">
        <f>MAX(A$14:$A46)+1</f>
        <v>31</v>
      </c>
      <c r="B47" s="268" t="s">
        <v>220</v>
      </c>
      <c r="C47" s="558" t="s">
        <v>208</v>
      </c>
      <c r="D47" s="276" t="str">
        <f t="shared" si="14"/>
        <v>B</v>
      </c>
      <c r="E47" s="276" t="s">
        <v>173</v>
      </c>
      <c r="F47" s="340" t="s">
        <v>221</v>
      </c>
      <c r="G47" s="340"/>
      <c r="H47" s="558" t="s">
        <v>211</v>
      </c>
      <c r="I47" s="611"/>
      <c r="J47" s="612">
        <v>70000</v>
      </c>
      <c r="K47" s="610">
        <f t="shared" si="15"/>
        <v>0</v>
      </c>
      <c r="L47" s="612">
        <f t="shared" si="16"/>
        <v>70000</v>
      </c>
      <c r="M47" s="613"/>
      <c r="N47" s="613"/>
      <c r="O47" s="613"/>
      <c r="P47" s="610">
        <f t="shared" si="17"/>
        <v>63000</v>
      </c>
      <c r="Q47" s="612"/>
      <c r="R47" s="612">
        <v>63000</v>
      </c>
      <c r="S47" s="614"/>
      <c r="T47" s="709">
        <f t="shared" si="4"/>
        <v>7000</v>
      </c>
      <c r="U47" s="709"/>
      <c r="V47" s="709">
        <v>1</v>
      </c>
      <c r="W47" s="709"/>
      <c r="X47" s="600">
        <f t="shared" si="18"/>
        <v>0.9</v>
      </c>
    </row>
    <row r="48" spans="1:24" s="297" customFormat="1" ht="124.5" customHeight="1" outlineLevel="2">
      <c r="A48" s="276">
        <f>MAX(A$14:$A47)+1</f>
        <v>32</v>
      </c>
      <c r="B48" s="268" t="s">
        <v>226</v>
      </c>
      <c r="C48" s="558" t="s">
        <v>208</v>
      </c>
      <c r="D48" s="276" t="str">
        <f t="shared" si="14"/>
        <v>B</v>
      </c>
      <c r="E48" s="276" t="s">
        <v>173</v>
      </c>
      <c r="F48" s="340" t="s">
        <v>227</v>
      </c>
      <c r="G48" s="340"/>
      <c r="H48" s="558" t="s">
        <v>211</v>
      </c>
      <c r="I48" s="616"/>
      <c r="J48" s="612">
        <v>70000</v>
      </c>
      <c r="K48" s="610">
        <f t="shared" si="15"/>
        <v>0</v>
      </c>
      <c r="L48" s="612">
        <f t="shared" si="16"/>
        <v>70000</v>
      </c>
      <c r="M48" s="612"/>
      <c r="N48" s="612"/>
      <c r="O48" s="612"/>
      <c r="P48" s="610">
        <f t="shared" si="17"/>
        <v>63000</v>
      </c>
      <c r="Q48" s="612"/>
      <c r="R48" s="612">
        <v>63000</v>
      </c>
      <c r="S48" s="617"/>
      <c r="T48" s="709">
        <f t="shared" si="4"/>
        <v>7000</v>
      </c>
      <c r="U48" s="709"/>
      <c r="V48" s="709">
        <v>1</v>
      </c>
      <c r="W48" s="709"/>
      <c r="X48" s="600">
        <f t="shared" si="18"/>
        <v>0.9</v>
      </c>
    </row>
    <row r="49" spans="1:24" s="297" customFormat="1" ht="75" outlineLevel="2">
      <c r="A49" s="276">
        <f>MAX(A$14:$A48)+1</f>
        <v>33</v>
      </c>
      <c r="B49" s="268" t="s">
        <v>228</v>
      </c>
      <c r="C49" s="558" t="s">
        <v>208</v>
      </c>
      <c r="D49" s="276" t="str">
        <f t="shared" si="14"/>
        <v>B</v>
      </c>
      <c r="E49" s="276" t="s">
        <v>173</v>
      </c>
      <c r="F49" s="340" t="s">
        <v>229</v>
      </c>
      <c r="G49" s="340"/>
      <c r="H49" s="558" t="s">
        <v>211</v>
      </c>
      <c r="I49" s="616"/>
      <c r="J49" s="612">
        <v>50000</v>
      </c>
      <c r="K49" s="610">
        <f t="shared" si="15"/>
        <v>0</v>
      </c>
      <c r="L49" s="612">
        <f t="shared" si="16"/>
        <v>50000</v>
      </c>
      <c r="M49" s="612"/>
      <c r="N49" s="612"/>
      <c r="O49" s="612"/>
      <c r="P49" s="610">
        <f t="shared" si="17"/>
        <v>45000</v>
      </c>
      <c r="Q49" s="612"/>
      <c r="R49" s="612">
        <v>45000</v>
      </c>
      <c r="S49" s="617"/>
      <c r="T49" s="709">
        <f t="shared" si="4"/>
        <v>5000</v>
      </c>
      <c r="U49" s="709"/>
      <c r="V49" s="709">
        <v>1</v>
      </c>
      <c r="W49" s="709"/>
      <c r="X49" s="600">
        <f t="shared" si="18"/>
        <v>0.9</v>
      </c>
    </row>
    <row r="50" spans="1:24" s="297" customFormat="1" ht="90" outlineLevel="2">
      <c r="A50" s="276">
        <f>MAX(A$14:$A49)+1</f>
        <v>34</v>
      </c>
      <c r="B50" s="268" t="s">
        <v>230</v>
      </c>
      <c r="C50" s="558" t="s">
        <v>208</v>
      </c>
      <c r="D50" s="276" t="str">
        <f t="shared" si="14"/>
        <v>B</v>
      </c>
      <c r="E50" s="276" t="s">
        <v>173</v>
      </c>
      <c r="F50" s="340" t="s">
        <v>231</v>
      </c>
      <c r="G50" s="340"/>
      <c r="H50" s="558" t="s">
        <v>211</v>
      </c>
      <c r="I50" s="616"/>
      <c r="J50" s="612">
        <v>70000</v>
      </c>
      <c r="K50" s="610">
        <f t="shared" si="15"/>
        <v>0</v>
      </c>
      <c r="L50" s="612">
        <f t="shared" si="16"/>
        <v>70000</v>
      </c>
      <c r="M50" s="612"/>
      <c r="N50" s="612"/>
      <c r="O50" s="612"/>
      <c r="P50" s="610">
        <f t="shared" si="17"/>
        <v>63000</v>
      </c>
      <c r="Q50" s="612"/>
      <c r="R50" s="612">
        <v>63000</v>
      </c>
      <c r="S50" s="617"/>
      <c r="T50" s="709">
        <f t="shared" si="4"/>
        <v>7000</v>
      </c>
      <c r="U50" s="709"/>
      <c r="V50" s="709">
        <v>1</v>
      </c>
      <c r="W50" s="709"/>
      <c r="X50" s="600">
        <f t="shared" si="18"/>
        <v>0.9</v>
      </c>
    </row>
    <row r="51" spans="1:24" s="297" customFormat="1" ht="75" outlineLevel="2">
      <c r="A51" s="276">
        <f>MAX(A$14:$A50)+1</f>
        <v>35</v>
      </c>
      <c r="B51" s="268" t="s">
        <v>232</v>
      </c>
      <c r="C51" s="558" t="s">
        <v>208</v>
      </c>
      <c r="D51" s="276" t="str">
        <f t="shared" si="14"/>
        <v>C</v>
      </c>
      <c r="E51" s="276" t="s">
        <v>173</v>
      </c>
      <c r="F51" s="340" t="s">
        <v>233</v>
      </c>
      <c r="G51" s="340"/>
      <c r="H51" s="558" t="s">
        <v>234</v>
      </c>
      <c r="I51" s="616"/>
      <c r="J51" s="612">
        <v>30000</v>
      </c>
      <c r="K51" s="610">
        <f t="shared" si="15"/>
        <v>0</v>
      </c>
      <c r="L51" s="612">
        <f t="shared" si="16"/>
        <v>30000</v>
      </c>
      <c r="M51" s="612"/>
      <c r="N51" s="612"/>
      <c r="O51" s="612"/>
      <c r="P51" s="610">
        <f t="shared" si="17"/>
        <v>27000</v>
      </c>
      <c r="Q51" s="612"/>
      <c r="R51" s="612">
        <v>27000</v>
      </c>
      <c r="S51" s="617"/>
      <c r="T51" s="709">
        <f t="shared" si="4"/>
        <v>3000</v>
      </c>
      <c r="U51" s="709"/>
      <c r="V51" s="709">
        <v>1</v>
      </c>
      <c r="W51" s="709"/>
      <c r="X51" s="600">
        <f t="shared" si="18"/>
        <v>0.9</v>
      </c>
    </row>
    <row r="52" spans="1:24" s="297" customFormat="1" ht="93" customHeight="1" outlineLevel="2">
      <c r="A52" s="276">
        <f>MAX(A$14:$A51)+1</f>
        <v>36</v>
      </c>
      <c r="B52" s="268" t="s">
        <v>235</v>
      </c>
      <c r="C52" s="558" t="s">
        <v>208</v>
      </c>
      <c r="D52" s="276" t="str">
        <f t="shared" si="14"/>
        <v>B</v>
      </c>
      <c r="E52" s="276" t="s">
        <v>173</v>
      </c>
      <c r="F52" s="340" t="s">
        <v>236</v>
      </c>
      <c r="G52" s="340"/>
      <c r="H52" s="558" t="s">
        <v>234</v>
      </c>
      <c r="I52" s="616"/>
      <c r="J52" s="612">
        <v>50000</v>
      </c>
      <c r="K52" s="610">
        <f t="shared" si="15"/>
        <v>0</v>
      </c>
      <c r="L52" s="612">
        <f t="shared" si="16"/>
        <v>50000</v>
      </c>
      <c r="M52" s="612"/>
      <c r="N52" s="612"/>
      <c r="O52" s="612"/>
      <c r="P52" s="610">
        <f t="shared" si="17"/>
        <v>45000</v>
      </c>
      <c r="Q52" s="612"/>
      <c r="R52" s="612">
        <v>45000</v>
      </c>
      <c r="S52" s="617"/>
      <c r="T52" s="709">
        <f t="shared" si="4"/>
        <v>5000</v>
      </c>
      <c r="U52" s="709"/>
      <c r="V52" s="709">
        <v>1</v>
      </c>
      <c r="W52" s="709"/>
      <c r="X52" s="600">
        <f t="shared" si="18"/>
        <v>0.9</v>
      </c>
    </row>
    <row r="53" spans="1:24" s="460" customFormat="1" ht="105" outlineLevel="2">
      <c r="A53" s="276">
        <f>MAX(A$14:$A52)+1</f>
        <v>37</v>
      </c>
      <c r="B53" s="268" t="s">
        <v>237</v>
      </c>
      <c r="C53" s="558" t="s">
        <v>208</v>
      </c>
      <c r="D53" s="276" t="str">
        <f t="shared" si="14"/>
        <v>B</v>
      </c>
      <c r="E53" s="276" t="s">
        <v>173</v>
      </c>
      <c r="F53" s="340" t="s">
        <v>238</v>
      </c>
      <c r="G53" s="340"/>
      <c r="H53" s="558" t="s">
        <v>234</v>
      </c>
      <c r="I53" s="616"/>
      <c r="J53" s="612">
        <v>70000</v>
      </c>
      <c r="K53" s="610">
        <f t="shared" si="15"/>
        <v>0</v>
      </c>
      <c r="L53" s="612">
        <f t="shared" si="16"/>
        <v>70000</v>
      </c>
      <c r="M53" s="612"/>
      <c r="N53" s="612"/>
      <c r="O53" s="612"/>
      <c r="P53" s="610">
        <f t="shared" si="17"/>
        <v>63000</v>
      </c>
      <c r="Q53" s="612"/>
      <c r="R53" s="612">
        <v>63000</v>
      </c>
      <c r="S53" s="617"/>
      <c r="T53" s="709">
        <f t="shared" si="4"/>
        <v>7000</v>
      </c>
      <c r="U53" s="709"/>
      <c r="V53" s="709">
        <v>1</v>
      </c>
      <c r="W53" s="709"/>
      <c r="X53" s="600">
        <f t="shared" si="18"/>
        <v>0.9</v>
      </c>
    </row>
    <row r="54" spans="1:24" s="467" customFormat="1" ht="21" customHeight="1" outlineLevel="1">
      <c r="A54" s="300"/>
      <c r="B54" s="301" t="s">
        <v>480</v>
      </c>
      <c r="C54" s="557"/>
      <c r="D54" s="302"/>
      <c r="E54" s="302"/>
      <c r="F54" s="336"/>
      <c r="G54" s="336"/>
      <c r="H54" s="393"/>
      <c r="I54" s="302"/>
      <c r="J54" s="465">
        <f>SUM(J55:J80)</f>
        <v>554000</v>
      </c>
      <c r="K54" s="465">
        <f t="shared" ref="K54:R54" si="19">SUM(K55:K80)</f>
        <v>0</v>
      </c>
      <c r="L54" s="465">
        <f t="shared" si="19"/>
        <v>554000</v>
      </c>
      <c r="M54" s="465">
        <f t="shared" si="19"/>
        <v>0</v>
      </c>
      <c r="N54" s="465">
        <f t="shared" si="19"/>
        <v>0</v>
      </c>
      <c r="O54" s="465">
        <f t="shared" si="19"/>
        <v>0</v>
      </c>
      <c r="P54" s="465">
        <f t="shared" si="19"/>
        <v>498600</v>
      </c>
      <c r="Q54" s="465">
        <f t="shared" si="19"/>
        <v>0</v>
      </c>
      <c r="R54" s="465">
        <f t="shared" si="19"/>
        <v>498600</v>
      </c>
      <c r="S54" s="466"/>
      <c r="T54" s="709"/>
      <c r="U54" s="709"/>
      <c r="V54" s="709"/>
      <c r="W54" s="709"/>
      <c r="X54" s="600">
        <f t="shared" si="18"/>
        <v>0.9</v>
      </c>
    </row>
    <row r="55" spans="1:24" s="297" customFormat="1" ht="63.75" outlineLevel="2">
      <c r="A55" s="254">
        <f>MAX(A$37:$A54)+1</f>
        <v>38</v>
      </c>
      <c r="B55" s="307" t="s">
        <v>241</v>
      </c>
      <c r="C55" s="601" t="s">
        <v>883</v>
      </c>
      <c r="D55" s="293" t="str">
        <f t="shared" si="14"/>
        <v>C</v>
      </c>
      <c r="E55" s="293" t="str">
        <f t="shared" si="14"/>
        <v>C</v>
      </c>
      <c r="F55" s="338" t="s">
        <v>238</v>
      </c>
      <c r="G55" s="337" t="s">
        <v>242</v>
      </c>
      <c r="H55" s="263" t="s">
        <v>212</v>
      </c>
      <c r="I55" s="293"/>
      <c r="J55" s="294">
        <v>25000</v>
      </c>
      <c r="K55" s="295"/>
      <c r="L55" s="294">
        <f t="shared" ref="L55:L78" si="20">J55</f>
        <v>25000</v>
      </c>
      <c r="M55" s="295"/>
      <c r="N55" s="295"/>
      <c r="O55" s="295"/>
      <c r="P55" s="294">
        <f>Q55+R55</f>
        <v>22500</v>
      </c>
      <c r="Q55" s="295"/>
      <c r="R55" s="294">
        <f>L55*0.9</f>
        <v>22500</v>
      </c>
      <c r="S55" s="386"/>
      <c r="T55" s="709">
        <f t="shared" si="4"/>
        <v>2500</v>
      </c>
      <c r="U55" s="709"/>
      <c r="V55" s="709">
        <v>1</v>
      </c>
      <c r="W55" s="709"/>
      <c r="X55" s="600">
        <f t="shared" si="18"/>
        <v>0.9</v>
      </c>
    </row>
    <row r="56" spans="1:24" s="297" customFormat="1" ht="75" outlineLevel="2">
      <c r="A56" s="254">
        <f>MAX(A$37:$A55)+1</f>
        <v>39</v>
      </c>
      <c r="B56" s="279" t="s">
        <v>243</v>
      </c>
      <c r="C56" s="601" t="s">
        <v>883</v>
      </c>
      <c r="D56" s="293" t="str">
        <f t="shared" si="14"/>
        <v>C</v>
      </c>
      <c r="E56" s="293" t="str">
        <f t="shared" si="14"/>
        <v>C</v>
      </c>
      <c r="F56" s="338" t="s">
        <v>227</v>
      </c>
      <c r="G56" s="337" t="s">
        <v>242</v>
      </c>
      <c r="H56" s="263" t="s">
        <v>212</v>
      </c>
      <c r="I56" s="293"/>
      <c r="J56" s="294">
        <v>25000</v>
      </c>
      <c r="K56" s="295"/>
      <c r="L56" s="294">
        <f t="shared" si="20"/>
        <v>25000</v>
      </c>
      <c r="M56" s="295"/>
      <c r="N56" s="295"/>
      <c r="O56" s="295"/>
      <c r="P56" s="294">
        <f t="shared" ref="P56:P80" si="21">Q56+R56</f>
        <v>22500</v>
      </c>
      <c r="Q56" s="295"/>
      <c r="R56" s="294">
        <f t="shared" ref="R56:R80" si="22">L56*0.9</f>
        <v>22500</v>
      </c>
      <c r="S56" s="386"/>
      <c r="T56" s="709">
        <f t="shared" si="4"/>
        <v>2500</v>
      </c>
      <c r="U56" s="709"/>
      <c r="V56" s="709">
        <v>1</v>
      </c>
      <c r="W56" s="709"/>
      <c r="X56" s="600">
        <f t="shared" si="18"/>
        <v>0.9</v>
      </c>
    </row>
    <row r="57" spans="1:24" s="297" customFormat="1" ht="63.75" outlineLevel="2">
      <c r="A57" s="254">
        <f>MAX(A$37:$A56)+1</f>
        <v>40</v>
      </c>
      <c r="B57" s="307" t="s">
        <v>244</v>
      </c>
      <c r="C57" s="601" t="s">
        <v>883</v>
      </c>
      <c r="D57" s="293" t="str">
        <f t="shared" si="14"/>
        <v>C</v>
      </c>
      <c r="E57" s="293" t="str">
        <f t="shared" si="14"/>
        <v>C</v>
      </c>
      <c r="F57" s="338" t="s">
        <v>238</v>
      </c>
      <c r="G57" s="337" t="s">
        <v>242</v>
      </c>
      <c r="H57" s="263" t="s">
        <v>212</v>
      </c>
      <c r="I57" s="293"/>
      <c r="J57" s="294">
        <v>14000</v>
      </c>
      <c r="K57" s="295"/>
      <c r="L57" s="294">
        <f t="shared" si="20"/>
        <v>14000</v>
      </c>
      <c r="M57" s="295"/>
      <c r="N57" s="295"/>
      <c r="O57" s="295"/>
      <c r="P57" s="294">
        <f t="shared" si="21"/>
        <v>12600</v>
      </c>
      <c r="Q57" s="295"/>
      <c r="R57" s="294">
        <f t="shared" si="22"/>
        <v>12600</v>
      </c>
      <c r="S57" s="386"/>
      <c r="T57" s="709">
        <f t="shared" si="4"/>
        <v>1400</v>
      </c>
      <c r="U57" s="709"/>
      <c r="V57" s="709">
        <v>1</v>
      </c>
      <c r="W57" s="709"/>
      <c r="X57" s="600">
        <f t="shared" si="18"/>
        <v>0.9</v>
      </c>
    </row>
    <row r="58" spans="1:24" s="297" customFormat="1" ht="63.75" outlineLevel="2">
      <c r="A58" s="254">
        <f>MAX(A$37:$A57)+1</f>
        <v>41</v>
      </c>
      <c r="B58" s="279" t="s">
        <v>245</v>
      </c>
      <c r="C58" s="601" t="s">
        <v>883</v>
      </c>
      <c r="D58" s="293" t="str">
        <f t="shared" si="14"/>
        <v>C</v>
      </c>
      <c r="E58" s="293" t="str">
        <f t="shared" si="14"/>
        <v>C</v>
      </c>
      <c r="F58" s="337" t="s">
        <v>231</v>
      </c>
      <c r="G58" s="337" t="s">
        <v>242</v>
      </c>
      <c r="H58" s="263" t="s">
        <v>212</v>
      </c>
      <c r="I58" s="293"/>
      <c r="J58" s="294">
        <v>20000</v>
      </c>
      <c r="K58" s="295"/>
      <c r="L58" s="294">
        <f t="shared" si="20"/>
        <v>20000</v>
      </c>
      <c r="M58" s="295"/>
      <c r="N58" s="295"/>
      <c r="O58" s="295"/>
      <c r="P58" s="294">
        <f t="shared" si="21"/>
        <v>18000</v>
      </c>
      <c r="Q58" s="295"/>
      <c r="R58" s="294">
        <f t="shared" si="22"/>
        <v>18000</v>
      </c>
      <c r="S58" s="386"/>
      <c r="T58" s="709">
        <f t="shared" si="4"/>
        <v>2000</v>
      </c>
      <c r="U58" s="709"/>
      <c r="V58" s="709">
        <v>1</v>
      </c>
      <c r="W58" s="709"/>
      <c r="X58" s="600">
        <f t="shared" si="18"/>
        <v>0.9</v>
      </c>
    </row>
    <row r="59" spans="1:24" s="297" customFormat="1" ht="63.75" outlineLevel="2">
      <c r="A59" s="254">
        <f>MAX(A$37:$A58)+1</f>
        <v>42</v>
      </c>
      <c r="B59" s="307" t="s">
        <v>246</v>
      </c>
      <c r="C59" s="601" t="s">
        <v>883</v>
      </c>
      <c r="D59" s="293" t="str">
        <f t="shared" si="14"/>
        <v>C</v>
      </c>
      <c r="E59" s="293" t="str">
        <f t="shared" si="14"/>
        <v>C</v>
      </c>
      <c r="F59" s="337" t="s">
        <v>247</v>
      </c>
      <c r="G59" s="337" t="s">
        <v>242</v>
      </c>
      <c r="H59" s="263" t="s">
        <v>212</v>
      </c>
      <c r="I59" s="293"/>
      <c r="J59" s="294">
        <v>14500</v>
      </c>
      <c r="K59" s="295"/>
      <c r="L59" s="294">
        <f t="shared" si="20"/>
        <v>14500</v>
      </c>
      <c r="M59" s="295"/>
      <c r="N59" s="295"/>
      <c r="O59" s="295"/>
      <c r="P59" s="294">
        <f t="shared" si="21"/>
        <v>13050</v>
      </c>
      <c r="Q59" s="295"/>
      <c r="R59" s="294">
        <f t="shared" si="22"/>
        <v>13050</v>
      </c>
      <c r="S59" s="386"/>
      <c r="T59" s="709">
        <f t="shared" si="4"/>
        <v>1450</v>
      </c>
      <c r="U59" s="709"/>
      <c r="V59" s="709">
        <v>1</v>
      </c>
      <c r="W59" s="709"/>
      <c r="X59" s="600">
        <f t="shared" si="18"/>
        <v>0.9</v>
      </c>
    </row>
    <row r="60" spans="1:24" s="297" customFormat="1" ht="63.75" outlineLevel="2">
      <c r="A60" s="254">
        <f>MAX(A$37:$A59)+1</f>
        <v>43</v>
      </c>
      <c r="B60" s="279" t="s">
        <v>248</v>
      </c>
      <c r="C60" s="601" t="s">
        <v>883</v>
      </c>
      <c r="D60" s="293" t="str">
        <f t="shared" si="14"/>
        <v>C</v>
      </c>
      <c r="E60" s="293" t="str">
        <f t="shared" si="14"/>
        <v>C</v>
      </c>
      <c r="F60" s="337" t="s">
        <v>249</v>
      </c>
      <c r="G60" s="337" t="s">
        <v>242</v>
      </c>
      <c r="H60" s="263" t="s">
        <v>212</v>
      </c>
      <c r="I60" s="293"/>
      <c r="J60" s="294">
        <v>25000</v>
      </c>
      <c r="K60" s="295"/>
      <c r="L60" s="294">
        <f t="shared" si="20"/>
        <v>25000</v>
      </c>
      <c r="M60" s="295"/>
      <c r="N60" s="295"/>
      <c r="O60" s="295"/>
      <c r="P60" s="294">
        <f t="shared" si="21"/>
        <v>22500</v>
      </c>
      <c r="Q60" s="295"/>
      <c r="R60" s="294">
        <f t="shared" si="22"/>
        <v>22500</v>
      </c>
      <c r="S60" s="386"/>
      <c r="T60" s="709">
        <f t="shared" si="4"/>
        <v>2500</v>
      </c>
      <c r="U60" s="709"/>
      <c r="V60" s="709">
        <v>1</v>
      </c>
      <c r="W60" s="709"/>
      <c r="X60" s="600">
        <f t="shared" si="18"/>
        <v>0.9</v>
      </c>
    </row>
    <row r="61" spans="1:24" s="297" customFormat="1" ht="75" outlineLevel="2">
      <c r="A61" s="254">
        <f>MAX(A$37:$A60)+1</f>
        <v>44</v>
      </c>
      <c r="B61" s="307" t="s">
        <v>250</v>
      </c>
      <c r="C61" s="601" t="s">
        <v>883</v>
      </c>
      <c r="D61" s="293" t="str">
        <f t="shared" si="14"/>
        <v>C</v>
      </c>
      <c r="E61" s="293" t="str">
        <f t="shared" si="14"/>
        <v>C</v>
      </c>
      <c r="F61" s="338" t="s">
        <v>251</v>
      </c>
      <c r="G61" s="337" t="s">
        <v>242</v>
      </c>
      <c r="H61" s="263" t="s">
        <v>212</v>
      </c>
      <c r="I61" s="293"/>
      <c r="J61" s="294">
        <v>28000</v>
      </c>
      <c r="K61" s="295"/>
      <c r="L61" s="294">
        <f t="shared" si="20"/>
        <v>28000</v>
      </c>
      <c r="M61" s="295"/>
      <c r="N61" s="295"/>
      <c r="O61" s="295"/>
      <c r="P61" s="294">
        <f t="shared" si="21"/>
        <v>25200</v>
      </c>
      <c r="Q61" s="295"/>
      <c r="R61" s="294">
        <f t="shared" si="22"/>
        <v>25200</v>
      </c>
      <c r="S61" s="386"/>
      <c r="T61" s="709">
        <f t="shared" si="4"/>
        <v>2800</v>
      </c>
      <c r="U61" s="709"/>
      <c r="V61" s="709">
        <v>1</v>
      </c>
      <c r="W61" s="709"/>
      <c r="X61" s="600">
        <f t="shared" si="18"/>
        <v>0.9</v>
      </c>
    </row>
    <row r="62" spans="1:24" s="297" customFormat="1" ht="63.75" outlineLevel="2">
      <c r="A62" s="254">
        <f>MAX(A$37:$A61)+1</f>
        <v>45</v>
      </c>
      <c r="B62" s="307" t="s">
        <v>252</v>
      </c>
      <c r="C62" s="601" t="s">
        <v>883</v>
      </c>
      <c r="D62" s="293" t="str">
        <f t="shared" si="14"/>
        <v>C</v>
      </c>
      <c r="E62" s="293" t="str">
        <f t="shared" si="14"/>
        <v>C</v>
      </c>
      <c r="F62" s="338" t="s">
        <v>253</v>
      </c>
      <c r="G62" s="337" t="s">
        <v>242</v>
      </c>
      <c r="H62" s="263" t="s">
        <v>212</v>
      </c>
      <c r="I62" s="293"/>
      <c r="J62" s="294">
        <v>14000</v>
      </c>
      <c r="K62" s="295"/>
      <c r="L62" s="294">
        <f t="shared" si="20"/>
        <v>14000</v>
      </c>
      <c r="M62" s="295"/>
      <c r="N62" s="295"/>
      <c r="O62" s="295"/>
      <c r="P62" s="294">
        <f t="shared" si="21"/>
        <v>12600</v>
      </c>
      <c r="Q62" s="295"/>
      <c r="R62" s="294">
        <f t="shared" si="22"/>
        <v>12600</v>
      </c>
      <c r="S62" s="386"/>
      <c r="T62" s="709">
        <f t="shared" si="4"/>
        <v>1400</v>
      </c>
      <c r="U62" s="709"/>
      <c r="V62" s="709">
        <v>1</v>
      </c>
      <c r="W62" s="709"/>
      <c r="X62" s="600">
        <f t="shared" si="18"/>
        <v>0.9</v>
      </c>
    </row>
    <row r="63" spans="1:24" s="297" customFormat="1" ht="63.75" outlineLevel="2">
      <c r="A63" s="254">
        <f>MAX(A$37:$A62)+1</f>
        <v>46</v>
      </c>
      <c r="B63" s="307" t="s">
        <v>254</v>
      </c>
      <c r="C63" s="601" t="s">
        <v>883</v>
      </c>
      <c r="D63" s="293" t="str">
        <f t="shared" si="14"/>
        <v>C</v>
      </c>
      <c r="E63" s="293" t="str">
        <f t="shared" si="14"/>
        <v>C</v>
      </c>
      <c r="F63" s="338" t="s">
        <v>255</v>
      </c>
      <c r="G63" s="337" t="s">
        <v>242</v>
      </c>
      <c r="H63" s="263" t="s">
        <v>212</v>
      </c>
      <c r="I63" s="293"/>
      <c r="J63" s="294">
        <v>18000</v>
      </c>
      <c r="K63" s="295"/>
      <c r="L63" s="294">
        <f t="shared" si="20"/>
        <v>18000</v>
      </c>
      <c r="M63" s="295"/>
      <c r="N63" s="295"/>
      <c r="O63" s="295"/>
      <c r="P63" s="294">
        <f t="shared" si="21"/>
        <v>16200</v>
      </c>
      <c r="Q63" s="295"/>
      <c r="R63" s="294">
        <f t="shared" si="22"/>
        <v>16200</v>
      </c>
      <c r="S63" s="386"/>
      <c r="T63" s="709">
        <f t="shared" si="4"/>
        <v>1800</v>
      </c>
      <c r="U63" s="709"/>
      <c r="V63" s="709">
        <v>1</v>
      </c>
      <c r="W63" s="709"/>
      <c r="X63" s="600">
        <f t="shared" si="18"/>
        <v>0.9</v>
      </c>
    </row>
    <row r="64" spans="1:24" s="297" customFormat="1" ht="63.75" outlineLevel="2">
      <c r="A64" s="254">
        <f>MAX(A$37:$A63)+1</f>
        <v>47</v>
      </c>
      <c r="B64" s="307" t="s">
        <v>256</v>
      </c>
      <c r="C64" s="601" t="s">
        <v>883</v>
      </c>
      <c r="D64" s="293" t="str">
        <f t="shared" si="14"/>
        <v>C</v>
      </c>
      <c r="E64" s="293" t="str">
        <f t="shared" si="14"/>
        <v>C</v>
      </c>
      <c r="F64" s="338" t="s">
        <v>238</v>
      </c>
      <c r="G64" s="337" t="s">
        <v>242</v>
      </c>
      <c r="H64" s="263" t="s">
        <v>212</v>
      </c>
      <c r="I64" s="293"/>
      <c r="J64" s="294">
        <v>20000</v>
      </c>
      <c r="K64" s="295"/>
      <c r="L64" s="294">
        <f t="shared" si="20"/>
        <v>20000</v>
      </c>
      <c r="M64" s="295"/>
      <c r="N64" s="295"/>
      <c r="O64" s="295"/>
      <c r="P64" s="294">
        <f t="shared" si="21"/>
        <v>18000</v>
      </c>
      <c r="Q64" s="295"/>
      <c r="R64" s="294">
        <f t="shared" si="22"/>
        <v>18000</v>
      </c>
      <c r="S64" s="386"/>
      <c r="T64" s="709">
        <f t="shared" si="4"/>
        <v>2000</v>
      </c>
      <c r="U64" s="709"/>
      <c r="V64" s="709">
        <v>1</v>
      </c>
      <c r="W64" s="709"/>
      <c r="X64" s="600">
        <f t="shared" si="18"/>
        <v>0.9</v>
      </c>
    </row>
    <row r="65" spans="1:24" s="297" customFormat="1" ht="63.75" outlineLevel="2">
      <c r="A65" s="254">
        <f>MAX(A$37:$A64)+1</f>
        <v>48</v>
      </c>
      <c r="B65" s="307" t="s">
        <v>257</v>
      </c>
      <c r="C65" s="601" t="s">
        <v>883</v>
      </c>
      <c r="D65" s="293" t="str">
        <f t="shared" si="14"/>
        <v>C</v>
      </c>
      <c r="E65" s="293" t="str">
        <f t="shared" si="14"/>
        <v>C</v>
      </c>
      <c r="F65" s="338" t="s">
        <v>238</v>
      </c>
      <c r="G65" s="337" t="s">
        <v>242</v>
      </c>
      <c r="H65" s="263" t="s">
        <v>212</v>
      </c>
      <c r="I65" s="293"/>
      <c r="J65" s="294">
        <v>20000</v>
      </c>
      <c r="K65" s="295"/>
      <c r="L65" s="294">
        <f t="shared" si="20"/>
        <v>20000</v>
      </c>
      <c r="M65" s="295"/>
      <c r="N65" s="295"/>
      <c r="O65" s="295"/>
      <c r="P65" s="294">
        <f t="shared" si="21"/>
        <v>18000</v>
      </c>
      <c r="Q65" s="295"/>
      <c r="R65" s="294">
        <f t="shared" si="22"/>
        <v>18000</v>
      </c>
      <c r="S65" s="386"/>
      <c r="T65" s="709">
        <f t="shared" si="4"/>
        <v>2000</v>
      </c>
      <c r="U65" s="709"/>
      <c r="V65" s="709">
        <v>1</v>
      </c>
      <c r="W65" s="709"/>
      <c r="X65" s="600">
        <f t="shared" si="18"/>
        <v>0.9</v>
      </c>
    </row>
    <row r="66" spans="1:24" s="297" customFormat="1" ht="63.75" outlineLevel="2">
      <c r="A66" s="254">
        <f>MAX(A$37:$A65)+1</f>
        <v>49</v>
      </c>
      <c r="B66" s="307" t="s">
        <v>258</v>
      </c>
      <c r="C66" s="601" t="s">
        <v>883</v>
      </c>
      <c r="D66" s="293" t="str">
        <f t="shared" si="14"/>
        <v>C</v>
      </c>
      <c r="E66" s="293" t="str">
        <f t="shared" si="14"/>
        <v>C</v>
      </c>
      <c r="F66" s="338" t="s">
        <v>238</v>
      </c>
      <c r="G66" s="337" t="s">
        <v>242</v>
      </c>
      <c r="H66" s="263" t="s">
        <v>212</v>
      </c>
      <c r="I66" s="293"/>
      <c r="J66" s="294">
        <v>20000</v>
      </c>
      <c r="K66" s="295"/>
      <c r="L66" s="294">
        <f t="shared" si="20"/>
        <v>20000</v>
      </c>
      <c r="M66" s="295"/>
      <c r="N66" s="295"/>
      <c r="O66" s="295"/>
      <c r="P66" s="294">
        <f t="shared" si="21"/>
        <v>18000</v>
      </c>
      <c r="Q66" s="295"/>
      <c r="R66" s="294">
        <f t="shared" si="22"/>
        <v>18000</v>
      </c>
      <c r="S66" s="386"/>
      <c r="T66" s="709">
        <f t="shared" si="4"/>
        <v>2000</v>
      </c>
      <c r="U66" s="709"/>
      <c r="V66" s="709">
        <v>1</v>
      </c>
      <c r="W66" s="709"/>
      <c r="X66" s="600">
        <f t="shared" si="18"/>
        <v>0.9</v>
      </c>
    </row>
    <row r="67" spans="1:24" s="297" customFormat="1" ht="63.75" outlineLevel="2">
      <c r="A67" s="254">
        <f>MAX(A$37:$A66)+1</f>
        <v>50</v>
      </c>
      <c r="B67" s="279" t="s">
        <v>259</v>
      </c>
      <c r="C67" s="601" t="s">
        <v>883</v>
      </c>
      <c r="D67" s="293" t="str">
        <f t="shared" si="14"/>
        <v>C</v>
      </c>
      <c r="E67" s="293" t="str">
        <f t="shared" si="14"/>
        <v>C</v>
      </c>
      <c r="F67" s="338" t="s">
        <v>231</v>
      </c>
      <c r="G67" s="337" t="s">
        <v>213</v>
      </c>
      <c r="H67" s="263" t="s">
        <v>212</v>
      </c>
      <c r="I67" s="293"/>
      <c r="J67" s="294">
        <v>27000</v>
      </c>
      <c r="K67" s="295"/>
      <c r="L67" s="294">
        <f t="shared" si="20"/>
        <v>27000</v>
      </c>
      <c r="M67" s="295"/>
      <c r="N67" s="295"/>
      <c r="O67" s="295"/>
      <c r="P67" s="294">
        <f t="shared" si="21"/>
        <v>24300</v>
      </c>
      <c r="Q67" s="295"/>
      <c r="R67" s="294">
        <f t="shared" si="22"/>
        <v>24300</v>
      </c>
      <c r="S67" s="386"/>
      <c r="T67" s="709">
        <f t="shared" si="4"/>
        <v>2700</v>
      </c>
      <c r="U67" s="709"/>
      <c r="V67" s="709">
        <v>1</v>
      </c>
      <c r="W67" s="709"/>
      <c r="X67" s="600">
        <f t="shared" si="18"/>
        <v>0.9</v>
      </c>
    </row>
    <row r="68" spans="1:24" s="297" customFormat="1" ht="63.75" outlineLevel="2">
      <c r="A68" s="254">
        <f>MAX(A$37:$A67)+1</f>
        <v>51</v>
      </c>
      <c r="B68" s="307" t="s">
        <v>260</v>
      </c>
      <c r="C68" s="601" t="s">
        <v>883</v>
      </c>
      <c r="D68" s="293" t="str">
        <f t="shared" si="14"/>
        <v>C</v>
      </c>
      <c r="E68" s="293" t="str">
        <f t="shared" si="14"/>
        <v>C</v>
      </c>
      <c r="F68" s="340" t="s">
        <v>249</v>
      </c>
      <c r="G68" s="340" t="s">
        <v>242</v>
      </c>
      <c r="H68" s="263" t="s">
        <v>212</v>
      </c>
      <c r="I68" s="276"/>
      <c r="J68" s="294">
        <v>14500</v>
      </c>
      <c r="K68" s="309"/>
      <c r="L68" s="294">
        <f t="shared" si="20"/>
        <v>14500</v>
      </c>
      <c r="M68" s="309"/>
      <c r="N68" s="309"/>
      <c r="O68" s="309"/>
      <c r="P68" s="294">
        <f t="shared" si="21"/>
        <v>13050</v>
      </c>
      <c r="Q68" s="295"/>
      <c r="R68" s="294">
        <f t="shared" si="22"/>
        <v>13050</v>
      </c>
      <c r="S68" s="386"/>
      <c r="T68" s="709">
        <f t="shared" si="4"/>
        <v>1450</v>
      </c>
      <c r="U68" s="709"/>
      <c r="V68" s="709">
        <v>1</v>
      </c>
      <c r="W68" s="709"/>
      <c r="X68" s="600">
        <f t="shared" si="18"/>
        <v>0.9</v>
      </c>
    </row>
    <row r="69" spans="1:24" s="297" customFormat="1" ht="63.75" outlineLevel="2">
      <c r="A69" s="254">
        <f>MAX(A$37:$A68)+1</f>
        <v>52</v>
      </c>
      <c r="B69" s="307" t="s">
        <v>261</v>
      </c>
      <c r="C69" s="601" t="s">
        <v>883</v>
      </c>
      <c r="D69" s="293" t="str">
        <f t="shared" si="14"/>
        <v>C</v>
      </c>
      <c r="E69" s="293" t="str">
        <f t="shared" si="14"/>
        <v>C</v>
      </c>
      <c r="F69" s="338" t="s">
        <v>249</v>
      </c>
      <c r="G69" s="337" t="s">
        <v>242</v>
      </c>
      <c r="H69" s="263" t="s">
        <v>212</v>
      </c>
      <c r="I69" s="293"/>
      <c r="J69" s="294">
        <v>28000</v>
      </c>
      <c r="K69" s="295"/>
      <c r="L69" s="294">
        <f t="shared" si="20"/>
        <v>28000</v>
      </c>
      <c r="M69" s="295"/>
      <c r="N69" s="295"/>
      <c r="O69" s="295"/>
      <c r="P69" s="294">
        <f t="shared" si="21"/>
        <v>25200</v>
      </c>
      <c r="Q69" s="295"/>
      <c r="R69" s="294">
        <f t="shared" si="22"/>
        <v>25200</v>
      </c>
      <c r="S69" s="386"/>
      <c r="T69" s="709">
        <f t="shared" si="4"/>
        <v>2800</v>
      </c>
      <c r="U69" s="709"/>
      <c r="V69" s="709">
        <v>1</v>
      </c>
      <c r="W69" s="709"/>
      <c r="X69" s="600">
        <f t="shared" si="18"/>
        <v>0.9</v>
      </c>
    </row>
    <row r="70" spans="1:24" s="297" customFormat="1" ht="75" outlineLevel="2">
      <c r="A70" s="254">
        <f>MAX(A$37:$A69)+1</f>
        <v>53</v>
      </c>
      <c r="B70" s="307" t="s">
        <v>262</v>
      </c>
      <c r="C70" s="601" t="s">
        <v>883</v>
      </c>
      <c r="D70" s="293" t="str">
        <f t="shared" si="14"/>
        <v>C</v>
      </c>
      <c r="E70" s="293" t="str">
        <f t="shared" si="14"/>
        <v>C</v>
      </c>
      <c r="F70" s="338" t="s">
        <v>238</v>
      </c>
      <c r="G70" s="337" t="s">
        <v>242</v>
      </c>
      <c r="H70" s="263" t="s">
        <v>212</v>
      </c>
      <c r="I70" s="293"/>
      <c r="J70" s="294">
        <v>20000</v>
      </c>
      <c r="K70" s="295"/>
      <c r="L70" s="294">
        <f t="shared" si="20"/>
        <v>20000</v>
      </c>
      <c r="M70" s="295"/>
      <c r="N70" s="295"/>
      <c r="O70" s="295"/>
      <c r="P70" s="294">
        <f t="shared" si="21"/>
        <v>18000</v>
      </c>
      <c r="Q70" s="295"/>
      <c r="R70" s="294">
        <f t="shared" si="22"/>
        <v>18000</v>
      </c>
      <c r="S70" s="386"/>
      <c r="T70" s="709">
        <f t="shared" si="4"/>
        <v>2000</v>
      </c>
      <c r="U70" s="709"/>
      <c r="V70" s="709">
        <v>1</v>
      </c>
      <c r="W70" s="709"/>
      <c r="X70" s="600">
        <f t="shared" si="18"/>
        <v>0.9</v>
      </c>
    </row>
    <row r="71" spans="1:24" s="297" customFormat="1" ht="63.75" outlineLevel="2">
      <c r="A71" s="254">
        <f>MAX(A$37:$A70)+1</f>
        <v>54</v>
      </c>
      <c r="B71" s="307" t="s">
        <v>263</v>
      </c>
      <c r="C71" s="601" t="s">
        <v>883</v>
      </c>
      <c r="D71" s="293" t="str">
        <f t="shared" si="14"/>
        <v>C</v>
      </c>
      <c r="E71" s="293" t="str">
        <f t="shared" si="14"/>
        <v>C</v>
      </c>
      <c r="F71" s="338" t="s">
        <v>238</v>
      </c>
      <c r="G71" s="337" t="s">
        <v>242</v>
      </c>
      <c r="H71" s="263" t="s">
        <v>212</v>
      </c>
      <c r="I71" s="293"/>
      <c r="J71" s="294">
        <v>14000</v>
      </c>
      <c r="K71" s="295"/>
      <c r="L71" s="294">
        <f t="shared" si="20"/>
        <v>14000</v>
      </c>
      <c r="M71" s="295"/>
      <c r="N71" s="295"/>
      <c r="O71" s="295"/>
      <c r="P71" s="294">
        <f t="shared" si="21"/>
        <v>12600</v>
      </c>
      <c r="Q71" s="295"/>
      <c r="R71" s="294">
        <f t="shared" si="22"/>
        <v>12600</v>
      </c>
      <c r="S71" s="386"/>
      <c r="T71" s="709">
        <f t="shared" si="4"/>
        <v>1400</v>
      </c>
      <c r="U71" s="709"/>
      <c r="V71" s="709">
        <v>1</v>
      </c>
      <c r="W71" s="709"/>
      <c r="X71" s="600">
        <f t="shared" si="18"/>
        <v>0.9</v>
      </c>
    </row>
    <row r="72" spans="1:24" s="297" customFormat="1" ht="63.75" outlineLevel="2">
      <c r="A72" s="254">
        <f>MAX(A$37:$A71)+1</f>
        <v>55</v>
      </c>
      <c r="B72" s="307" t="s">
        <v>264</v>
      </c>
      <c r="C72" s="601" t="s">
        <v>883</v>
      </c>
      <c r="D72" s="293" t="str">
        <f t="shared" si="14"/>
        <v>C</v>
      </c>
      <c r="E72" s="293" t="str">
        <f t="shared" si="14"/>
        <v>C</v>
      </c>
      <c r="F72" s="338" t="s">
        <v>238</v>
      </c>
      <c r="G72" s="337" t="s">
        <v>242</v>
      </c>
      <c r="H72" s="263" t="s">
        <v>212</v>
      </c>
      <c r="I72" s="293"/>
      <c r="J72" s="294">
        <v>13000</v>
      </c>
      <c r="K72" s="295"/>
      <c r="L72" s="294">
        <f t="shared" si="20"/>
        <v>13000</v>
      </c>
      <c r="M72" s="295"/>
      <c r="N72" s="295"/>
      <c r="O72" s="295"/>
      <c r="P72" s="294">
        <f t="shared" si="21"/>
        <v>11700</v>
      </c>
      <c r="Q72" s="295"/>
      <c r="R72" s="294">
        <f t="shared" si="22"/>
        <v>11700</v>
      </c>
      <c r="S72" s="386"/>
      <c r="T72" s="709">
        <f t="shared" si="4"/>
        <v>1300</v>
      </c>
      <c r="U72" s="709"/>
      <c r="V72" s="709">
        <v>1</v>
      </c>
      <c r="W72" s="709"/>
      <c r="X72" s="600">
        <f t="shared" si="18"/>
        <v>0.9</v>
      </c>
    </row>
    <row r="73" spans="1:24" s="297" customFormat="1" ht="90" outlineLevel="2">
      <c r="A73" s="254">
        <f>MAX(A$37:$A72)+1</f>
        <v>56</v>
      </c>
      <c r="B73" s="307" t="s">
        <v>265</v>
      </c>
      <c r="C73" s="601" t="s">
        <v>883</v>
      </c>
      <c r="D73" s="293" t="str">
        <f t="shared" si="14"/>
        <v>C</v>
      </c>
      <c r="E73" s="293" t="str">
        <f t="shared" si="14"/>
        <v>C</v>
      </c>
      <c r="F73" s="338" t="s">
        <v>251</v>
      </c>
      <c r="G73" s="337" t="s">
        <v>242</v>
      </c>
      <c r="H73" s="263" t="s">
        <v>212</v>
      </c>
      <c r="I73" s="293"/>
      <c r="J73" s="294">
        <v>28000</v>
      </c>
      <c r="K73" s="295"/>
      <c r="L73" s="294">
        <f t="shared" si="20"/>
        <v>28000</v>
      </c>
      <c r="M73" s="295"/>
      <c r="N73" s="295"/>
      <c r="O73" s="295"/>
      <c r="P73" s="294">
        <f t="shared" si="21"/>
        <v>25200</v>
      </c>
      <c r="Q73" s="295"/>
      <c r="R73" s="294">
        <f t="shared" si="22"/>
        <v>25200</v>
      </c>
      <c r="S73" s="386"/>
      <c r="T73" s="709">
        <f t="shared" si="4"/>
        <v>2800</v>
      </c>
      <c r="U73" s="709"/>
      <c r="V73" s="709">
        <v>1</v>
      </c>
      <c r="W73" s="709"/>
      <c r="X73" s="600">
        <f t="shared" si="18"/>
        <v>0.9</v>
      </c>
    </row>
    <row r="74" spans="1:24" s="297" customFormat="1" ht="63.75" outlineLevel="2">
      <c r="A74" s="254">
        <f>MAX(A$37:$A73)+1</f>
        <v>57</v>
      </c>
      <c r="B74" s="307" t="s">
        <v>266</v>
      </c>
      <c r="C74" s="601" t="s">
        <v>883</v>
      </c>
      <c r="D74" s="293" t="str">
        <f t="shared" si="14"/>
        <v>C</v>
      </c>
      <c r="E74" s="293" t="str">
        <f t="shared" si="14"/>
        <v>C</v>
      </c>
      <c r="F74" s="338" t="s">
        <v>253</v>
      </c>
      <c r="G74" s="337" t="s">
        <v>242</v>
      </c>
      <c r="H74" s="263" t="s">
        <v>212</v>
      </c>
      <c r="I74" s="293"/>
      <c r="J74" s="294">
        <v>14500</v>
      </c>
      <c r="K74" s="295"/>
      <c r="L74" s="294">
        <f t="shared" si="20"/>
        <v>14500</v>
      </c>
      <c r="M74" s="295"/>
      <c r="N74" s="295"/>
      <c r="O74" s="295"/>
      <c r="P74" s="294">
        <f t="shared" si="21"/>
        <v>13050</v>
      </c>
      <c r="Q74" s="295"/>
      <c r="R74" s="294">
        <f t="shared" si="22"/>
        <v>13050</v>
      </c>
      <c r="S74" s="386"/>
      <c r="T74" s="709">
        <f t="shared" si="4"/>
        <v>1450</v>
      </c>
      <c r="U74" s="709"/>
      <c r="V74" s="709">
        <v>1</v>
      </c>
      <c r="W74" s="709"/>
      <c r="X74" s="600">
        <f t="shared" si="18"/>
        <v>0.9</v>
      </c>
    </row>
    <row r="75" spans="1:24" s="297" customFormat="1" ht="62.25" customHeight="1" outlineLevel="2">
      <c r="A75" s="254">
        <f>MAX(A$37:$A74)+1</f>
        <v>58</v>
      </c>
      <c r="B75" s="307" t="s">
        <v>267</v>
      </c>
      <c r="C75" s="601" t="s">
        <v>883</v>
      </c>
      <c r="D75" s="293" t="str">
        <f t="shared" si="14"/>
        <v>C</v>
      </c>
      <c r="E75" s="293" t="str">
        <f t="shared" si="14"/>
        <v>C</v>
      </c>
      <c r="F75" s="340" t="s">
        <v>247</v>
      </c>
      <c r="G75" s="337" t="s">
        <v>242</v>
      </c>
      <c r="H75" s="263" t="s">
        <v>234</v>
      </c>
      <c r="I75" s="293"/>
      <c r="J75" s="294">
        <v>25000</v>
      </c>
      <c r="K75" s="295"/>
      <c r="L75" s="294">
        <f t="shared" si="20"/>
        <v>25000</v>
      </c>
      <c r="M75" s="295"/>
      <c r="N75" s="295"/>
      <c r="O75" s="295"/>
      <c r="P75" s="294">
        <f t="shared" si="21"/>
        <v>22500</v>
      </c>
      <c r="Q75" s="295"/>
      <c r="R75" s="294">
        <f t="shared" si="22"/>
        <v>22500</v>
      </c>
      <c r="S75" s="386"/>
      <c r="T75" s="709">
        <f t="shared" si="4"/>
        <v>2500</v>
      </c>
      <c r="U75" s="709"/>
      <c r="V75" s="709">
        <v>1</v>
      </c>
      <c r="W75" s="709"/>
      <c r="X75" s="600">
        <f t="shared" si="18"/>
        <v>0.9</v>
      </c>
    </row>
    <row r="76" spans="1:24" s="297" customFormat="1" ht="63.75" outlineLevel="2">
      <c r="A76" s="254">
        <f>MAX(A$37:$A75)+1</f>
        <v>59</v>
      </c>
      <c r="B76" s="307" t="s">
        <v>268</v>
      </c>
      <c r="C76" s="601" t="s">
        <v>883</v>
      </c>
      <c r="D76" s="293" t="str">
        <f t="shared" si="14"/>
        <v>C</v>
      </c>
      <c r="E76" s="293" t="str">
        <f t="shared" si="14"/>
        <v>C</v>
      </c>
      <c r="F76" s="340" t="s">
        <v>231</v>
      </c>
      <c r="G76" s="337" t="s">
        <v>242</v>
      </c>
      <c r="H76" s="263" t="s">
        <v>234</v>
      </c>
      <c r="I76" s="293"/>
      <c r="J76" s="294">
        <v>14000</v>
      </c>
      <c r="K76" s="295"/>
      <c r="L76" s="294">
        <f t="shared" si="20"/>
        <v>14000</v>
      </c>
      <c r="M76" s="295"/>
      <c r="N76" s="295"/>
      <c r="O76" s="295"/>
      <c r="P76" s="294">
        <f t="shared" si="21"/>
        <v>12600</v>
      </c>
      <c r="Q76" s="295"/>
      <c r="R76" s="294">
        <f t="shared" si="22"/>
        <v>12600</v>
      </c>
      <c r="S76" s="386"/>
      <c r="T76" s="709">
        <f t="shared" si="4"/>
        <v>1400</v>
      </c>
      <c r="U76" s="709"/>
      <c r="V76" s="709">
        <v>1</v>
      </c>
      <c r="W76" s="709"/>
      <c r="X76" s="600">
        <f t="shared" si="18"/>
        <v>0.9</v>
      </c>
    </row>
    <row r="77" spans="1:24" s="297" customFormat="1" ht="63.75" outlineLevel="2">
      <c r="A77" s="254">
        <f>MAX(A$37:$A76)+1</f>
        <v>60</v>
      </c>
      <c r="B77" s="307" t="s">
        <v>269</v>
      </c>
      <c r="C77" s="601" t="s">
        <v>883</v>
      </c>
      <c r="D77" s="293" t="str">
        <f t="shared" si="14"/>
        <v>C</v>
      </c>
      <c r="E77" s="293" t="str">
        <f t="shared" si="14"/>
        <v>C</v>
      </c>
      <c r="F77" s="340" t="s">
        <v>270</v>
      </c>
      <c r="G77" s="337" t="s">
        <v>242</v>
      </c>
      <c r="H77" s="263" t="s">
        <v>234</v>
      </c>
      <c r="I77" s="293"/>
      <c r="J77" s="294">
        <v>14000</v>
      </c>
      <c r="K77" s="295"/>
      <c r="L77" s="294">
        <f t="shared" si="20"/>
        <v>14000</v>
      </c>
      <c r="M77" s="295"/>
      <c r="N77" s="295"/>
      <c r="O77" s="295"/>
      <c r="P77" s="294">
        <f t="shared" si="21"/>
        <v>12600</v>
      </c>
      <c r="Q77" s="295"/>
      <c r="R77" s="294">
        <f t="shared" si="22"/>
        <v>12600</v>
      </c>
      <c r="S77" s="386"/>
      <c r="T77" s="709">
        <f t="shared" si="4"/>
        <v>1400</v>
      </c>
      <c r="U77" s="709"/>
      <c r="V77" s="709">
        <v>1</v>
      </c>
      <c r="W77" s="709"/>
      <c r="X77" s="600">
        <f t="shared" si="18"/>
        <v>0.9</v>
      </c>
    </row>
    <row r="78" spans="1:24" s="297" customFormat="1" ht="63.75" outlineLevel="2">
      <c r="A78" s="254">
        <f>MAX(A$37:$A77)+1</f>
        <v>61</v>
      </c>
      <c r="B78" s="307" t="s">
        <v>271</v>
      </c>
      <c r="C78" s="601" t="s">
        <v>883</v>
      </c>
      <c r="D78" s="293" t="str">
        <f t="shared" si="14"/>
        <v>C</v>
      </c>
      <c r="E78" s="293" t="str">
        <f t="shared" si="14"/>
        <v>C</v>
      </c>
      <c r="F78" s="340" t="s">
        <v>272</v>
      </c>
      <c r="G78" s="337" t="s">
        <v>242</v>
      </c>
      <c r="H78" s="263" t="s">
        <v>234</v>
      </c>
      <c r="I78" s="293"/>
      <c r="J78" s="294">
        <v>14500</v>
      </c>
      <c r="K78" s="295"/>
      <c r="L78" s="294">
        <f t="shared" si="20"/>
        <v>14500</v>
      </c>
      <c r="M78" s="295"/>
      <c r="N78" s="295"/>
      <c r="O78" s="295"/>
      <c r="P78" s="294">
        <f t="shared" si="21"/>
        <v>13050</v>
      </c>
      <c r="Q78" s="295"/>
      <c r="R78" s="294">
        <f t="shared" si="22"/>
        <v>13050</v>
      </c>
      <c r="S78" s="386"/>
      <c r="T78" s="709">
        <f t="shared" ref="T78:T141" si="23">L78-R78</f>
        <v>1450</v>
      </c>
      <c r="U78" s="709"/>
      <c r="V78" s="709">
        <v>1</v>
      </c>
      <c r="W78" s="709"/>
      <c r="X78" s="600">
        <f t="shared" si="18"/>
        <v>0.9</v>
      </c>
    </row>
    <row r="79" spans="1:24" s="297" customFormat="1" ht="63.75" outlineLevel="2">
      <c r="A79" s="254">
        <f>MAX(A$37:$A78)+1</f>
        <v>62</v>
      </c>
      <c r="B79" s="307" t="s">
        <v>273</v>
      </c>
      <c r="C79" s="601" t="s">
        <v>883</v>
      </c>
      <c r="D79" s="293" t="str">
        <f t="shared" si="14"/>
        <v>C</v>
      </c>
      <c r="E79" s="293" t="str">
        <f t="shared" si="14"/>
        <v>C</v>
      </c>
      <c r="F79" s="340" t="s">
        <v>217</v>
      </c>
      <c r="G79" s="337" t="s">
        <v>242</v>
      </c>
      <c r="H79" s="263" t="s">
        <v>234</v>
      </c>
      <c r="I79" s="293"/>
      <c r="J79" s="294">
        <v>14000</v>
      </c>
      <c r="K79" s="295"/>
      <c r="L79" s="294">
        <f>J79</f>
        <v>14000</v>
      </c>
      <c r="M79" s="295"/>
      <c r="N79" s="295"/>
      <c r="O79" s="295"/>
      <c r="P79" s="294">
        <f t="shared" si="21"/>
        <v>12600</v>
      </c>
      <c r="Q79" s="295"/>
      <c r="R79" s="294">
        <f t="shared" si="22"/>
        <v>12600</v>
      </c>
      <c r="S79" s="386"/>
      <c r="T79" s="709">
        <f t="shared" si="23"/>
        <v>1400</v>
      </c>
      <c r="U79" s="709"/>
      <c r="V79" s="709">
        <v>1</v>
      </c>
      <c r="W79" s="709"/>
      <c r="X79" s="600">
        <f t="shared" si="18"/>
        <v>0.9</v>
      </c>
    </row>
    <row r="80" spans="1:24" s="297" customFormat="1" ht="63.75" outlineLevel="2">
      <c r="A80" s="254">
        <f>MAX(A$37:$A79)+1</f>
        <v>63</v>
      </c>
      <c r="B80" s="255" t="s">
        <v>280</v>
      </c>
      <c r="C80" s="601" t="s">
        <v>883</v>
      </c>
      <c r="D80" s="293" t="str">
        <f>IF(J80&gt;=45000,"B","C")</f>
        <v>B</v>
      </c>
      <c r="E80" s="293" t="s">
        <v>173</v>
      </c>
      <c r="F80" s="340" t="s">
        <v>209</v>
      </c>
      <c r="G80" s="337" t="s">
        <v>281</v>
      </c>
      <c r="H80" s="263" t="s">
        <v>211</v>
      </c>
      <c r="I80" s="310"/>
      <c r="J80" s="294">
        <v>70000</v>
      </c>
      <c r="K80" s="311"/>
      <c r="L80" s="294">
        <v>70000</v>
      </c>
      <c r="M80" s="311"/>
      <c r="N80" s="311"/>
      <c r="O80" s="311"/>
      <c r="P80" s="294">
        <f t="shared" si="21"/>
        <v>63000</v>
      </c>
      <c r="Q80" s="295">
        <f>K80*0.9</f>
        <v>0</v>
      </c>
      <c r="R80" s="294">
        <f t="shared" si="22"/>
        <v>63000</v>
      </c>
      <c r="S80" s="388"/>
      <c r="T80" s="709">
        <f t="shared" si="23"/>
        <v>7000</v>
      </c>
      <c r="U80" s="709"/>
      <c r="V80" s="709">
        <v>1</v>
      </c>
      <c r="W80" s="709"/>
      <c r="X80" s="600">
        <f t="shared" si="18"/>
        <v>0.9</v>
      </c>
    </row>
    <row r="81" spans="1:25" s="297" customFormat="1" ht="32.25" customHeight="1" outlineLevel="1">
      <c r="A81" s="323"/>
      <c r="B81" s="326" t="s">
        <v>481</v>
      </c>
      <c r="C81" s="393"/>
      <c r="D81" s="324"/>
      <c r="E81" s="324"/>
      <c r="F81" s="339"/>
      <c r="G81" s="339"/>
      <c r="H81" s="393"/>
      <c r="I81" s="324"/>
      <c r="J81" s="325">
        <f t="shared" ref="J81:R81" si="24">SUM(J82:J84)</f>
        <v>700000</v>
      </c>
      <c r="K81" s="325">
        <f t="shared" si="24"/>
        <v>500000</v>
      </c>
      <c r="L81" s="325">
        <f t="shared" si="24"/>
        <v>200000</v>
      </c>
      <c r="M81" s="325">
        <f t="shared" si="24"/>
        <v>0</v>
      </c>
      <c r="N81" s="325">
        <f t="shared" si="24"/>
        <v>0</v>
      </c>
      <c r="O81" s="325">
        <f t="shared" si="24"/>
        <v>0</v>
      </c>
      <c r="P81" s="325">
        <f t="shared" si="24"/>
        <v>680000</v>
      </c>
      <c r="Q81" s="325">
        <f t="shared" si="24"/>
        <v>500000</v>
      </c>
      <c r="R81" s="325">
        <f t="shared" si="24"/>
        <v>180000</v>
      </c>
      <c r="S81" s="387"/>
      <c r="T81" s="709"/>
      <c r="U81" s="709"/>
      <c r="V81" s="709"/>
      <c r="W81" s="709"/>
      <c r="X81" s="600">
        <f t="shared" si="18"/>
        <v>0.25714285714285712</v>
      </c>
    </row>
    <row r="82" spans="1:25" s="460" customFormat="1" ht="54.75" customHeight="1" outlineLevel="2">
      <c r="A82" s="714">
        <f>MAX(A$37:$A81)+1</f>
        <v>64</v>
      </c>
      <c r="B82" s="279" t="s">
        <v>890</v>
      </c>
      <c r="C82" s="558" t="s">
        <v>208</v>
      </c>
      <c r="D82" s="276" t="str">
        <f>IF(J82&gt;=45000,"B","C")</f>
        <v>B</v>
      </c>
      <c r="E82" s="276" t="str">
        <f>IF(K82&gt;=45000,"B","C")</f>
        <v>B</v>
      </c>
      <c r="F82" s="340" t="s">
        <v>238</v>
      </c>
      <c r="G82" s="340"/>
      <c r="H82" s="558" t="s">
        <v>211</v>
      </c>
      <c r="I82" s="276"/>
      <c r="J82" s="612">
        <v>500000</v>
      </c>
      <c r="K82" s="612">
        <f>Q82</f>
        <v>500000</v>
      </c>
      <c r="L82" s="612">
        <f>J82-K82</f>
        <v>0</v>
      </c>
      <c r="M82" s="309"/>
      <c r="N82" s="309"/>
      <c r="O82" s="309"/>
      <c r="P82" s="612">
        <v>500000</v>
      </c>
      <c r="Q82" s="612">
        <v>500000</v>
      </c>
      <c r="R82" s="456"/>
      <c r="S82" s="472"/>
      <c r="T82" s="709">
        <f t="shared" si="23"/>
        <v>0</v>
      </c>
      <c r="U82" s="709"/>
      <c r="V82" s="709">
        <v>1</v>
      </c>
      <c r="W82" s="709"/>
      <c r="X82" s="600">
        <f t="shared" si="18"/>
        <v>0</v>
      </c>
    </row>
    <row r="83" spans="1:25" s="297" customFormat="1" ht="53.25" customHeight="1" outlineLevel="2">
      <c r="A83" s="714">
        <f>MAX(A$37:$A82)+1</f>
        <v>65</v>
      </c>
      <c r="B83" s="279" t="s">
        <v>884</v>
      </c>
      <c r="C83" s="263" t="s">
        <v>208</v>
      </c>
      <c r="D83" s="293" t="str">
        <f>IF(J83&gt;=45000,"B","C")</f>
        <v>B</v>
      </c>
      <c r="E83" s="293" t="str">
        <f>IF(K83&gt;=45000,"B","C")</f>
        <v>C</v>
      </c>
      <c r="F83" s="337" t="s">
        <v>270</v>
      </c>
      <c r="G83" s="337"/>
      <c r="H83" s="263" t="s">
        <v>969</v>
      </c>
      <c r="I83" s="293"/>
      <c r="J83" s="294">
        <v>150000</v>
      </c>
      <c r="K83" s="295"/>
      <c r="L83" s="294">
        <v>150000</v>
      </c>
      <c r="M83" s="295"/>
      <c r="N83" s="295"/>
      <c r="O83" s="295"/>
      <c r="P83" s="294">
        <v>135000</v>
      </c>
      <c r="Q83" s="295">
        <f>K83*0.9</f>
        <v>0</v>
      </c>
      <c r="R83" s="612">
        <f>P83-Q83</f>
        <v>135000</v>
      </c>
      <c r="S83" s="386"/>
      <c r="T83" s="709">
        <f t="shared" si="23"/>
        <v>15000</v>
      </c>
      <c r="U83" s="709"/>
      <c r="V83" s="709">
        <v>1</v>
      </c>
      <c r="W83" s="709"/>
      <c r="X83" s="600">
        <f t="shared" si="18"/>
        <v>0.9</v>
      </c>
    </row>
    <row r="84" spans="1:25" s="297" customFormat="1" ht="51" outlineLevel="2">
      <c r="A84" s="714">
        <f>MAX(A$37:$A83)+1</f>
        <v>66</v>
      </c>
      <c r="B84" s="307" t="s">
        <v>279</v>
      </c>
      <c r="C84" s="558" t="s">
        <v>208</v>
      </c>
      <c r="D84" s="293" t="str">
        <f>IF(J84&gt;=45000,"B","C")</f>
        <v>B</v>
      </c>
      <c r="E84" s="293" t="s">
        <v>173</v>
      </c>
      <c r="F84" s="340" t="s">
        <v>209</v>
      </c>
      <c r="G84" s="340"/>
      <c r="H84" s="263" t="s">
        <v>212</v>
      </c>
      <c r="I84" s="293"/>
      <c r="J84" s="294">
        <v>50000</v>
      </c>
      <c r="K84" s="295"/>
      <c r="L84" s="294">
        <v>50000</v>
      </c>
      <c r="M84" s="295"/>
      <c r="N84" s="295"/>
      <c r="O84" s="295"/>
      <c r="P84" s="294">
        <v>45000</v>
      </c>
      <c r="Q84" s="295">
        <f>K84*0.9</f>
        <v>0</v>
      </c>
      <c r="R84" s="612">
        <f>P84-Q84</f>
        <v>45000</v>
      </c>
      <c r="S84" s="386"/>
      <c r="T84" s="709">
        <f t="shared" si="23"/>
        <v>5000</v>
      </c>
      <c r="U84" s="709"/>
      <c r="V84" s="709">
        <v>1</v>
      </c>
      <c r="W84" s="709"/>
      <c r="X84" s="600">
        <f t="shared" si="18"/>
        <v>0.9</v>
      </c>
    </row>
    <row r="85" spans="1:25" s="297" customFormat="1" ht="59.25" customHeight="1" outlineLevel="1">
      <c r="A85" s="323"/>
      <c r="B85" s="281" t="s">
        <v>885</v>
      </c>
      <c r="C85" s="393"/>
      <c r="D85" s="324"/>
      <c r="E85" s="324"/>
      <c r="F85" s="339"/>
      <c r="G85" s="339"/>
      <c r="H85" s="393"/>
      <c r="I85" s="324"/>
      <c r="J85" s="325">
        <f>SUM(J86:J89)</f>
        <v>360000</v>
      </c>
      <c r="K85" s="325">
        <f t="shared" ref="K85:R85" si="25">SUM(K86:K89)</f>
        <v>0</v>
      </c>
      <c r="L85" s="325">
        <f t="shared" si="25"/>
        <v>360000</v>
      </c>
      <c r="M85" s="325">
        <f t="shared" si="25"/>
        <v>0</v>
      </c>
      <c r="N85" s="325">
        <f t="shared" si="25"/>
        <v>0</v>
      </c>
      <c r="O85" s="325">
        <f t="shared" si="25"/>
        <v>0</v>
      </c>
      <c r="P85" s="325">
        <f t="shared" si="25"/>
        <v>324000</v>
      </c>
      <c r="Q85" s="325">
        <f t="shared" si="25"/>
        <v>0</v>
      </c>
      <c r="R85" s="325">
        <f t="shared" si="25"/>
        <v>324000</v>
      </c>
      <c r="S85" s="387"/>
      <c r="T85" s="709"/>
      <c r="U85" s="709"/>
      <c r="V85" s="709"/>
      <c r="W85" s="709"/>
      <c r="X85" s="600">
        <f t="shared" si="18"/>
        <v>0.9</v>
      </c>
    </row>
    <row r="86" spans="1:25" s="297" customFormat="1" ht="51" outlineLevel="2">
      <c r="A86" s="254">
        <f>MAX(A$37:$A85)+1</f>
        <v>67</v>
      </c>
      <c r="B86" s="279" t="s">
        <v>282</v>
      </c>
      <c r="C86" s="263" t="s">
        <v>208</v>
      </c>
      <c r="D86" s="293" t="str">
        <f>IF(J86&gt;=45000,"B","C")</f>
        <v>B</v>
      </c>
      <c r="E86" s="293" t="s">
        <v>101</v>
      </c>
      <c r="F86" s="338" t="s">
        <v>209</v>
      </c>
      <c r="G86" s="340" t="s">
        <v>213</v>
      </c>
      <c r="H86" s="263" t="s">
        <v>211</v>
      </c>
      <c r="I86" s="310"/>
      <c r="J86" s="328">
        <v>150000</v>
      </c>
      <c r="K86" s="311"/>
      <c r="L86" s="327">
        <v>150000</v>
      </c>
      <c r="M86" s="311"/>
      <c r="N86" s="311"/>
      <c r="O86" s="311"/>
      <c r="P86" s="294">
        <f t="shared" ref="P86:P91" si="26">Q86+R86</f>
        <v>135000</v>
      </c>
      <c r="Q86" s="295">
        <f t="shared" ref="Q86:R91" si="27">K86*0.9</f>
        <v>0</v>
      </c>
      <c r="R86" s="328">
        <f t="shared" si="27"/>
        <v>135000</v>
      </c>
      <c r="S86" s="388"/>
      <c r="T86" s="709">
        <f t="shared" si="23"/>
        <v>15000</v>
      </c>
      <c r="U86" s="709"/>
      <c r="V86" s="709">
        <v>1</v>
      </c>
      <c r="W86" s="709"/>
      <c r="X86" s="600">
        <f t="shared" si="18"/>
        <v>0.9</v>
      </c>
    </row>
    <row r="87" spans="1:25" s="297" customFormat="1" ht="54.75" customHeight="1" outlineLevel="2">
      <c r="A87" s="254">
        <f>MAX(A$37:$A86)+1</f>
        <v>68</v>
      </c>
      <c r="B87" s="279" t="s">
        <v>283</v>
      </c>
      <c r="C87" s="263" t="s">
        <v>208</v>
      </c>
      <c r="D87" s="293" t="str">
        <f>IF(J87&gt;=45000,"B","C")</f>
        <v>B</v>
      </c>
      <c r="E87" s="293" t="s">
        <v>173</v>
      </c>
      <c r="F87" s="338" t="s">
        <v>209</v>
      </c>
      <c r="G87" s="340" t="s">
        <v>213</v>
      </c>
      <c r="H87" s="263" t="s">
        <v>211</v>
      </c>
      <c r="I87" s="310"/>
      <c r="J87" s="328">
        <v>60000</v>
      </c>
      <c r="K87" s="311"/>
      <c r="L87" s="328">
        <v>60000</v>
      </c>
      <c r="M87" s="311"/>
      <c r="N87" s="311"/>
      <c r="O87" s="311"/>
      <c r="P87" s="294">
        <f t="shared" si="26"/>
        <v>54000</v>
      </c>
      <c r="Q87" s="295">
        <f t="shared" si="27"/>
        <v>0</v>
      </c>
      <c r="R87" s="328">
        <f t="shared" si="27"/>
        <v>54000</v>
      </c>
      <c r="S87" s="388"/>
      <c r="T87" s="709">
        <f t="shared" si="23"/>
        <v>6000</v>
      </c>
      <c r="U87" s="709"/>
      <c r="V87" s="709">
        <v>1</v>
      </c>
      <c r="W87" s="709"/>
      <c r="X87" s="600">
        <f t="shared" si="18"/>
        <v>0.9</v>
      </c>
    </row>
    <row r="88" spans="1:25" s="297" customFormat="1" ht="52.5" customHeight="1" outlineLevel="2">
      <c r="A88" s="254">
        <f>MAX(A$37:$A87)+1</f>
        <v>69</v>
      </c>
      <c r="B88" s="279" t="s">
        <v>284</v>
      </c>
      <c r="C88" s="263" t="s">
        <v>208</v>
      </c>
      <c r="D88" s="293" t="str">
        <f>IF(J88&gt;=45000,"B","C")</f>
        <v>B</v>
      </c>
      <c r="E88" s="293" t="s">
        <v>173</v>
      </c>
      <c r="F88" s="338" t="s">
        <v>209</v>
      </c>
      <c r="G88" s="340" t="s">
        <v>213</v>
      </c>
      <c r="H88" s="263" t="s">
        <v>211</v>
      </c>
      <c r="I88" s="310"/>
      <c r="J88" s="328">
        <v>70000</v>
      </c>
      <c r="K88" s="311"/>
      <c r="L88" s="328">
        <v>70000</v>
      </c>
      <c r="M88" s="311"/>
      <c r="N88" s="311"/>
      <c r="O88" s="311"/>
      <c r="P88" s="294">
        <f t="shared" si="26"/>
        <v>63000</v>
      </c>
      <c r="Q88" s="295">
        <f t="shared" si="27"/>
        <v>0</v>
      </c>
      <c r="R88" s="328">
        <f t="shared" si="27"/>
        <v>63000</v>
      </c>
      <c r="S88" s="388"/>
      <c r="T88" s="709">
        <f t="shared" si="23"/>
        <v>7000</v>
      </c>
      <c r="U88" s="709"/>
      <c r="V88" s="709">
        <v>1</v>
      </c>
      <c r="W88" s="709"/>
      <c r="X88" s="600">
        <f t="shared" si="18"/>
        <v>0.9</v>
      </c>
    </row>
    <row r="89" spans="1:25" s="297" customFormat="1" ht="51" outlineLevel="2">
      <c r="A89" s="254">
        <f>MAX(A$37:$A88)+1</f>
        <v>70</v>
      </c>
      <c r="B89" s="279" t="s">
        <v>285</v>
      </c>
      <c r="C89" s="263" t="s">
        <v>208</v>
      </c>
      <c r="D89" s="293" t="str">
        <f>IF(J89&gt;=45000,"B","C")</f>
        <v>B</v>
      </c>
      <c r="E89" s="293" t="s">
        <v>173</v>
      </c>
      <c r="F89" s="338" t="s">
        <v>209</v>
      </c>
      <c r="G89" s="340" t="s">
        <v>213</v>
      </c>
      <c r="H89" s="263" t="s">
        <v>211</v>
      </c>
      <c r="I89" s="310"/>
      <c r="J89" s="328">
        <v>80000</v>
      </c>
      <c r="K89" s="311"/>
      <c r="L89" s="328">
        <v>80000</v>
      </c>
      <c r="M89" s="311"/>
      <c r="N89" s="311"/>
      <c r="O89" s="311"/>
      <c r="P89" s="294">
        <f t="shared" si="26"/>
        <v>72000</v>
      </c>
      <c r="Q89" s="295">
        <f t="shared" si="27"/>
        <v>0</v>
      </c>
      <c r="R89" s="328">
        <f t="shared" si="27"/>
        <v>72000</v>
      </c>
      <c r="S89" s="388"/>
      <c r="T89" s="709">
        <f t="shared" si="23"/>
        <v>8000</v>
      </c>
      <c r="U89" s="709"/>
      <c r="V89" s="709">
        <v>1</v>
      </c>
      <c r="W89" s="709"/>
      <c r="X89" s="600">
        <f t="shared" si="18"/>
        <v>0.9</v>
      </c>
    </row>
    <row r="90" spans="1:25" s="297" customFormat="1" ht="19.5" customHeight="1" outlineLevel="1">
      <c r="A90" s="323"/>
      <c r="B90" s="281" t="s">
        <v>906</v>
      </c>
      <c r="C90" s="393"/>
      <c r="D90" s="324"/>
      <c r="E90" s="324"/>
      <c r="F90" s="339"/>
      <c r="G90" s="339"/>
      <c r="H90" s="393"/>
      <c r="I90" s="324"/>
      <c r="J90" s="325">
        <f>SUM(J91)</f>
        <v>2400000</v>
      </c>
      <c r="K90" s="325">
        <f t="shared" ref="K90:R90" si="28">SUM(K91)</f>
        <v>0</v>
      </c>
      <c r="L90" s="325">
        <f t="shared" si="28"/>
        <v>2400000</v>
      </c>
      <c r="M90" s="325">
        <f t="shared" si="28"/>
        <v>0</v>
      </c>
      <c r="N90" s="325">
        <f t="shared" si="28"/>
        <v>0</v>
      </c>
      <c r="O90" s="325">
        <f t="shared" si="28"/>
        <v>0</v>
      </c>
      <c r="P90" s="325">
        <f t="shared" si="28"/>
        <v>800000</v>
      </c>
      <c r="Q90" s="325">
        <f t="shared" si="28"/>
        <v>0</v>
      </c>
      <c r="R90" s="325">
        <f t="shared" si="28"/>
        <v>800000</v>
      </c>
      <c r="S90" s="387"/>
      <c r="T90" s="709"/>
      <c r="U90" s="709"/>
      <c r="V90" s="709"/>
      <c r="W90" s="709"/>
      <c r="X90" s="600">
        <f t="shared" si="18"/>
        <v>0.33333333333333331</v>
      </c>
    </row>
    <row r="91" spans="1:25" s="297" customFormat="1" ht="78.75" customHeight="1" outlineLevel="2">
      <c r="A91" s="254">
        <f>MAX(A$37:$A90)+1</f>
        <v>71</v>
      </c>
      <c r="B91" s="279" t="s">
        <v>287</v>
      </c>
      <c r="C91" s="263" t="s">
        <v>208</v>
      </c>
      <c r="D91" s="293" t="s">
        <v>20</v>
      </c>
      <c r="E91" s="293" t="s">
        <v>101</v>
      </c>
      <c r="F91" s="338" t="s">
        <v>209</v>
      </c>
      <c r="G91" s="340" t="s">
        <v>213</v>
      </c>
      <c r="H91" s="263" t="s">
        <v>240</v>
      </c>
      <c r="I91" s="310"/>
      <c r="J91" s="294">
        <v>2400000</v>
      </c>
      <c r="K91" s="294"/>
      <c r="L91" s="294">
        <v>2400000</v>
      </c>
      <c r="M91" s="311"/>
      <c r="N91" s="311"/>
      <c r="O91" s="311"/>
      <c r="P91" s="294">
        <f t="shared" si="26"/>
        <v>800000</v>
      </c>
      <c r="Q91" s="295">
        <f t="shared" si="27"/>
        <v>0</v>
      </c>
      <c r="R91" s="294">
        <v>800000</v>
      </c>
      <c r="S91" s="468" t="s">
        <v>286</v>
      </c>
      <c r="T91" s="713">
        <f t="shared" si="23"/>
        <v>1600000</v>
      </c>
      <c r="U91" s="713">
        <v>1</v>
      </c>
      <c r="V91" s="709"/>
      <c r="W91" s="709"/>
      <c r="X91" s="600">
        <f t="shared" si="18"/>
        <v>0.33333333333333331</v>
      </c>
    </row>
    <row r="92" spans="1:25" s="297" customFormat="1" ht="30" customHeight="1">
      <c r="A92" s="527" t="s">
        <v>837</v>
      </c>
      <c r="B92" s="298" t="s">
        <v>174</v>
      </c>
      <c r="C92" s="394"/>
      <c r="D92" s="343"/>
      <c r="E92" s="343"/>
      <c r="F92" s="344"/>
      <c r="G92" s="344"/>
      <c r="H92" s="394"/>
      <c r="I92" s="343"/>
      <c r="J92" s="346">
        <f>+J93</f>
        <v>5815657</v>
      </c>
      <c r="K92" s="346">
        <f t="shared" ref="K92:R92" si="29">+K93</f>
        <v>3884200</v>
      </c>
      <c r="L92" s="346">
        <f t="shared" si="29"/>
        <v>1931457</v>
      </c>
      <c r="M92" s="346">
        <f t="shared" si="29"/>
        <v>0</v>
      </c>
      <c r="N92" s="346">
        <f t="shared" si="29"/>
        <v>0</v>
      </c>
      <c r="O92" s="346">
        <f t="shared" si="29"/>
        <v>0</v>
      </c>
      <c r="P92" s="346">
        <f t="shared" si="29"/>
        <v>5695000</v>
      </c>
      <c r="Q92" s="346">
        <f t="shared" si="29"/>
        <v>3884200</v>
      </c>
      <c r="R92" s="346">
        <f t="shared" si="29"/>
        <v>1810800</v>
      </c>
      <c r="S92" s="344"/>
      <c r="T92" s="709"/>
      <c r="U92" s="709"/>
      <c r="V92" s="709"/>
      <c r="W92" s="709"/>
    </row>
    <row r="93" spans="1:25" s="297" customFormat="1" ht="28.5" outlineLevel="1" collapsed="1">
      <c r="A93" s="323"/>
      <c r="B93" s="281" t="s">
        <v>483</v>
      </c>
      <c r="C93" s="393"/>
      <c r="D93" s="324"/>
      <c r="E93" s="324"/>
      <c r="F93" s="339"/>
      <c r="G93" s="339"/>
      <c r="H93" s="393"/>
      <c r="I93" s="324"/>
      <c r="J93" s="325">
        <f t="shared" ref="J93:R93" si="30">SUM(J94:J104)</f>
        <v>5815657</v>
      </c>
      <c r="K93" s="325">
        <f t="shared" si="30"/>
        <v>3884200</v>
      </c>
      <c r="L93" s="325">
        <f t="shared" si="30"/>
        <v>1931457</v>
      </c>
      <c r="M93" s="325">
        <f t="shared" si="30"/>
        <v>0</v>
      </c>
      <c r="N93" s="325">
        <f t="shared" si="30"/>
        <v>0</v>
      </c>
      <c r="O93" s="325">
        <f t="shared" si="30"/>
        <v>0</v>
      </c>
      <c r="P93" s="325">
        <f t="shared" si="30"/>
        <v>5695000</v>
      </c>
      <c r="Q93" s="325">
        <f>SUM(Q94:Q104)</f>
        <v>3884200</v>
      </c>
      <c r="R93" s="325">
        <f t="shared" si="30"/>
        <v>1810800</v>
      </c>
      <c r="S93" s="387"/>
      <c r="T93" s="709"/>
      <c r="U93" s="709"/>
      <c r="V93" s="709"/>
      <c r="W93" s="709"/>
    </row>
    <row r="94" spans="1:25" s="460" customFormat="1" ht="67.5" customHeight="1" outlineLevel="2">
      <c r="A94" s="254">
        <f>MAX(A$37:$A93)+1</f>
        <v>72</v>
      </c>
      <c r="B94" s="307" t="s">
        <v>611</v>
      </c>
      <c r="C94" s="715" t="s">
        <v>612</v>
      </c>
      <c r="D94" s="276" t="s">
        <v>101</v>
      </c>
      <c r="E94" s="276" t="s">
        <v>101</v>
      </c>
      <c r="F94" s="340" t="s">
        <v>435</v>
      </c>
      <c r="G94" s="340" t="s">
        <v>614</v>
      </c>
      <c r="H94" s="558" t="s">
        <v>211</v>
      </c>
      <c r="I94" s="716"/>
      <c r="J94" s="328">
        <v>350000</v>
      </c>
      <c r="K94" s="596">
        <f>Q94</f>
        <v>300000</v>
      </c>
      <c r="L94" s="602">
        <f>J94-K94</f>
        <v>50000</v>
      </c>
      <c r="M94" s="717"/>
      <c r="N94" s="717"/>
      <c r="O94" s="717"/>
      <c r="P94" s="328">
        <v>350000</v>
      </c>
      <c r="Q94" s="328">
        <v>300000</v>
      </c>
      <c r="R94" s="612">
        <f>P94-Q94</f>
        <v>50000</v>
      </c>
      <c r="S94" s="606" t="s">
        <v>888</v>
      </c>
      <c r="T94" s="709">
        <f t="shared" si="23"/>
        <v>0</v>
      </c>
      <c r="U94" s="709"/>
      <c r="V94" s="709">
        <v>1</v>
      </c>
      <c r="W94" s="709"/>
      <c r="X94" s="604">
        <f>R94/J94</f>
        <v>0.14285714285714285</v>
      </c>
      <c r="Y94" s="460" t="s">
        <v>613</v>
      </c>
    </row>
    <row r="95" spans="1:25" s="297" customFormat="1" ht="78.75" customHeight="1" outlineLevel="2">
      <c r="A95" s="254">
        <f>MAX(A$37:$A94)+1</f>
        <v>73</v>
      </c>
      <c r="B95" s="307" t="s">
        <v>489</v>
      </c>
      <c r="C95" s="718" t="s">
        <v>174</v>
      </c>
      <c r="D95" s="276" t="s">
        <v>101</v>
      </c>
      <c r="E95" s="276" t="s">
        <v>101</v>
      </c>
      <c r="F95" s="340" t="s">
        <v>435</v>
      </c>
      <c r="G95" s="340" t="s">
        <v>490</v>
      </c>
      <c r="H95" s="558" t="s">
        <v>211</v>
      </c>
      <c r="I95" s="716"/>
      <c r="J95" s="328">
        <v>400000</v>
      </c>
      <c r="K95" s="596">
        <f>Q95</f>
        <v>350000</v>
      </c>
      <c r="L95" s="602">
        <f>J95-K95</f>
        <v>50000</v>
      </c>
      <c r="M95" s="717"/>
      <c r="N95" s="717"/>
      <c r="O95" s="717"/>
      <c r="P95" s="328">
        <v>400000</v>
      </c>
      <c r="Q95" s="328">
        <v>350000</v>
      </c>
      <c r="R95" s="612">
        <f>P95-Q95</f>
        <v>50000</v>
      </c>
      <c r="S95" s="605" t="s">
        <v>886</v>
      </c>
      <c r="T95" s="709">
        <f t="shared" si="23"/>
        <v>0</v>
      </c>
      <c r="U95" s="709"/>
      <c r="V95" s="709">
        <v>1</v>
      </c>
      <c r="W95" s="709"/>
      <c r="X95" s="604">
        <f>R95/J95</f>
        <v>0.125</v>
      </c>
    </row>
    <row r="96" spans="1:25" s="297" customFormat="1" ht="162.75" customHeight="1" outlineLevel="2">
      <c r="A96" s="254">
        <f>MAX(A$37:$A95)+1</f>
        <v>74</v>
      </c>
      <c r="B96" s="307" t="s">
        <v>491</v>
      </c>
      <c r="C96" s="718" t="s">
        <v>174</v>
      </c>
      <c r="D96" s="276" t="s">
        <v>20</v>
      </c>
      <c r="E96" s="276" t="s">
        <v>101</v>
      </c>
      <c r="F96" s="340" t="s">
        <v>435</v>
      </c>
      <c r="G96" s="340" t="s">
        <v>492</v>
      </c>
      <c r="H96" s="558" t="s">
        <v>278</v>
      </c>
      <c r="I96" s="716"/>
      <c r="J96" s="328">
        <v>2900000</v>
      </c>
      <c r="K96" s="596">
        <f>Q96</f>
        <v>2600000</v>
      </c>
      <c r="L96" s="602">
        <f>J96-K96</f>
        <v>300000</v>
      </c>
      <c r="M96" s="717"/>
      <c r="N96" s="717"/>
      <c r="O96" s="717"/>
      <c r="P96" s="328">
        <v>2900000</v>
      </c>
      <c r="Q96" s="328">
        <f>2580000+20000</f>
        <v>2600000</v>
      </c>
      <c r="R96" s="612">
        <f>P96-Q96</f>
        <v>300000</v>
      </c>
      <c r="S96" s="605" t="s">
        <v>887</v>
      </c>
      <c r="T96" s="709">
        <f t="shared" si="23"/>
        <v>0</v>
      </c>
      <c r="U96" s="709"/>
      <c r="V96" s="709">
        <v>1</v>
      </c>
      <c r="W96" s="709"/>
      <c r="X96" s="604">
        <f>R96/J96</f>
        <v>0.10344827586206896</v>
      </c>
    </row>
    <row r="97" spans="1:24" s="297" customFormat="1" ht="45" outlineLevel="2">
      <c r="A97" s="254">
        <f>MAX(A$37:$A96)+1</f>
        <v>75</v>
      </c>
      <c r="B97" s="279" t="s">
        <v>487</v>
      </c>
      <c r="C97" s="263" t="s">
        <v>174</v>
      </c>
      <c r="D97" s="293" t="s">
        <v>101</v>
      </c>
      <c r="E97" s="293" t="s">
        <v>101</v>
      </c>
      <c r="F97" s="338" t="s">
        <v>435</v>
      </c>
      <c r="G97" s="340" t="s">
        <v>488</v>
      </c>
      <c r="H97" s="263" t="s">
        <v>278</v>
      </c>
      <c r="I97" s="310"/>
      <c r="J97" s="328">
        <v>500000</v>
      </c>
      <c r="K97" s="543">
        <f>Q97</f>
        <v>450000</v>
      </c>
      <c r="L97" s="602">
        <f>J97-K97</f>
        <v>50000</v>
      </c>
      <c r="M97" s="311"/>
      <c r="N97" s="311"/>
      <c r="O97" s="311"/>
      <c r="P97" s="474">
        <v>500000</v>
      </c>
      <c r="Q97" s="603">
        <v>450000</v>
      </c>
      <c r="R97" s="294">
        <f>P97-Q97</f>
        <v>50000</v>
      </c>
      <c r="S97" s="388"/>
      <c r="T97" s="709">
        <f t="shared" si="23"/>
        <v>0</v>
      </c>
      <c r="U97" s="709"/>
      <c r="V97" s="709">
        <v>1</v>
      </c>
      <c r="W97" s="709"/>
      <c r="X97" s="604">
        <f>R97/J97</f>
        <v>0.1</v>
      </c>
    </row>
    <row r="98" spans="1:24" s="297" customFormat="1" ht="75" outlineLevel="2">
      <c r="A98" s="254">
        <f>MAX(A$37:$A97)+1</f>
        <v>76</v>
      </c>
      <c r="B98" s="279" t="s">
        <v>484</v>
      </c>
      <c r="C98" s="263" t="s">
        <v>174</v>
      </c>
      <c r="D98" s="293" t="s">
        <v>101</v>
      </c>
      <c r="E98" s="293" t="s">
        <v>101</v>
      </c>
      <c r="F98" s="338" t="s">
        <v>435</v>
      </c>
      <c r="G98" s="340" t="s">
        <v>485</v>
      </c>
      <c r="H98" s="263" t="s">
        <v>212</v>
      </c>
      <c r="I98" s="310"/>
      <c r="J98" s="328">
        <v>201657</v>
      </c>
      <c r="K98" s="543">
        <f>Q98</f>
        <v>184200</v>
      </c>
      <c r="L98" s="602">
        <f>J98-K98</f>
        <v>17457</v>
      </c>
      <c r="M98" s="311"/>
      <c r="N98" s="311"/>
      <c r="O98" s="311"/>
      <c r="P98" s="294">
        <v>200000</v>
      </c>
      <c r="Q98" s="602">
        <f>172200+12000</f>
        <v>184200</v>
      </c>
      <c r="R98" s="294">
        <f>P98-Q98</f>
        <v>15800</v>
      </c>
      <c r="S98" s="388"/>
      <c r="T98" s="709">
        <f t="shared" si="23"/>
        <v>1657</v>
      </c>
      <c r="U98" s="709"/>
      <c r="V98" s="709">
        <v>1</v>
      </c>
      <c r="W98" s="709"/>
      <c r="X98" s="604">
        <f>R98/J98</f>
        <v>7.8350863099222942E-2</v>
      </c>
    </row>
    <row r="99" spans="1:24" s="297" customFormat="1" ht="60" outlineLevel="2">
      <c r="A99" s="254">
        <f>MAX(A$37:$A98)+1</f>
        <v>77</v>
      </c>
      <c r="B99" s="279" t="s">
        <v>486</v>
      </c>
      <c r="C99" s="263" t="s">
        <v>174</v>
      </c>
      <c r="D99" s="293" t="s">
        <v>101</v>
      </c>
      <c r="E99" s="293" t="s">
        <v>173</v>
      </c>
      <c r="F99" s="338" t="s">
        <v>435</v>
      </c>
      <c r="G99" s="340"/>
      <c r="H99" s="263" t="s">
        <v>212</v>
      </c>
      <c r="I99" s="310"/>
      <c r="J99" s="328">
        <v>100000</v>
      </c>
      <c r="K99" s="543">
        <f t="shared" ref="K99:K104" si="31">Q99</f>
        <v>0</v>
      </c>
      <c r="L99" s="602">
        <f t="shared" ref="L99:L104" si="32">J99-K99</f>
        <v>100000</v>
      </c>
      <c r="M99" s="311"/>
      <c r="N99" s="311"/>
      <c r="O99" s="311"/>
      <c r="P99" s="294">
        <v>100000</v>
      </c>
      <c r="Q99" s="602"/>
      <c r="R99" s="294">
        <f t="shared" ref="R99:R104" si="33">P99-Q99</f>
        <v>100000</v>
      </c>
      <c r="S99" s="388"/>
      <c r="T99" s="709">
        <f t="shared" si="23"/>
        <v>0</v>
      </c>
      <c r="U99" s="709"/>
      <c r="V99" s="709">
        <v>1</v>
      </c>
      <c r="W99" s="709"/>
      <c r="X99" s="604">
        <f t="shared" ref="X99:X104" si="34">R99/J99</f>
        <v>1</v>
      </c>
    </row>
    <row r="100" spans="1:24" s="297" customFormat="1" ht="38.25" outlineLevel="2">
      <c r="A100" s="254">
        <f>MAX(A$37:$A99)+1</f>
        <v>78</v>
      </c>
      <c r="B100" s="279" t="s">
        <v>495</v>
      </c>
      <c r="C100" s="263" t="s">
        <v>174</v>
      </c>
      <c r="D100" s="293" t="s">
        <v>101</v>
      </c>
      <c r="E100" s="293" t="s">
        <v>173</v>
      </c>
      <c r="F100" s="338" t="s">
        <v>435</v>
      </c>
      <c r="G100" s="340" t="s">
        <v>496</v>
      </c>
      <c r="H100" s="263" t="s">
        <v>212</v>
      </c>
      <c r="I100" s="310"/>
      <c r="J100" s="328">
        <v>130000</v>
      </c>
      <c r="K100" s="543">
        <f t="shared" si="31"/>
        <v>0</v>
      </c>
      <c r="L100" s="602">
        <f t="shared" si="32"/>
        <v>130000</v>
      </c>
      <c r="M100" s="311"/>
      <c r="N100" s="311"/>
      <c r="O100" s="311"/>
      <c r="P100" s="294">
        <v>120000</v>
      </c>
      <c r="Q100" s="295"/>
      <c r="R100" s="294">
        <f t="shared" si="33"/>
        <v>120000</v>
      </c>
      <c r="S100" s="388"/>
      <c r="T100" s="709">
        <f t="shared" si="23"/>
        <v>10000</v>
      </c>
      <c r="U100" s="709"/>
      <c r="V100" s="709">
        <v>1</v>
      </c>
      <c r="W100" s="709"/>
      <c r="X100" s="604">
        <f t="shared" si="34"/>
        <v>0.92307692307692313</v>
      </c>
    </row>
    <row r="101" spans="1:24" s="297" customFormat="1" ht="38.25" outlineLevel="2">
      <c r="A101" s="254">
        <f>MAX(A$37:$A100)+1</f>
        <v>79</v>
      </c>
      <c r="B101" s="279" t="s">
        <v>497</v>
      </c>
      <c r="C101" s="263" t="s">
        <v>174</v>
      </c>
      <c r="D101" s="293" t="s">
        <v>101</v>
      </c>
      <c r="E101" s="293" t="s">
        <v>101</v>
      </c>
      <c r="F101" s="338" t="s">
        <v>435</v>
      </c>
      <c r="G101" s="340" t="s">
        <v>498</v>
      </c>
      <c r="H101" s="263" t="s">
        <v>212</v>
      </c>
      <c r="I101" s="310"/>
      <c r="J101" s="328">
        <v>390000</v>
      </c>
      <c r="K101" s="543">
        <f t="shared" si="31"/>
        <v>0</v>
      </c>
      <c r="L101" s="602">
        <f t="shared" si="32"/>
        <v>390000</v>
      </c>
      <c r="M101" s="311"/>
      <c r="N101" s="311"/>
      <c r="O101" s="311"/>
      <c r="P101" s="294">
        <v>350000</v>
      </c>
      <c r="Q101" s="295"/>
      <c r="R101" s="294">
        <f t="shared" si="33"/>
        <v>350000</v>
      </c>
      <c r="S101" s="388"/>
      <c r="T101" s="709">
        <f t="shared" si="23"/>
        <v>40000</v>
      </c>
      <c r="U101" s="709"/>
      <c r="V101" s="709">
        <v>1</v>
      </c>
      <c r="W101" s="709"/>
      <c r="X101" s="604">
        <f t="shared" si="34"/>
        <v>0.89743589743589747</v>
      </c>
    </row>
    <row r="102" spans="1:24" s="297" customFormat="1" ht="38.25" outlineLevel="2">
      <c r="A102" s="254">
        <f>MAX(A$37:$A101)+1</f>
        <v>80</v>
      </c>
      <c r="B102" s="279" t="s">
        <v>499</v>
      </c>
      <c r="C102" s="263" t="s">
        <v>174</v>
      </c>
      <c r="D102" s="293" t="s">
        <v>101</v>
      </c>
      <c r="E102" s="293" t="s">
        <v>101</v>
      </c>
      <c r="F102" s="338" t="s">
        <v>435</v>
      </c>
      <c r="G102" s="340" t="s">
        <v>498</v>
      </c>
      <c r="H102" s="263" t="s">
        <v>212</v>
      </c>
      <c r="I102" s="310"/>
      <c r="J102" s="328">
        <v>390000</v>
      </c>
      <c r="K102" s="543">
        <f t="shared" si="31"/>
        <v>0</v>
      </c>
      <c r="L102" s="602">
        <f t="shared" si="32"/>
        <v>390000</v>
      </c>
      <c r="M102" s="311"/>
      <c r="N102" s="311"/>
      <c r="O102" s="311"/>
      <c r="P102" s="294">
        <v>350000</v>
      </c>
      <c r="Q102" s="295"/>
      <c r="R102" s="294">
        <f t="shared" si="33"/>
        <v>350000</v>
      </c>
      <c r="S102" s="388"/>
      <c r="T102" s="709">
        <f t="shared" si="23"/>
        <v>40000</v>
      </c>
      <c r="U102" s="709"/>
      <c r="V102" s="709">
        <v>1</v>
      </c>
      <c r="W102" s="709"/>
      <c r="X102" s="604">
        <f t="shared" si="34"/>
        <v>0.89743589743589747</v>
      </c>
    </row>
    <row r="103" spans="1:24" s="297" customFormat="1" ht="38.25" outlineLevel="2">
      <c r="A103" s="254">
        <f>MAX(A$37:$A102)+1</f>
        <v>81</v>
      </c>
      <c r="B103" s="279" t="s">
        <v>500</v>
      </c>
      <c r="C103" s="263" t="s">
        <v>174</v>
      </c>
      <c r="D103" s="293" t="s">
        <v>101</v>
      </c>
      <c r="E103" s="293" t="s">
        <v>101</v>
      </c>
      <c r="F103" s="338" t="s">
        <v>435</v>
      </c>
      <c r="G103" s="340" t="s">
        <v>501</v>
      </c>
      <c r="H103" s="263" t="s">
        <v>212</v>
      </c>
      <c r="I103" s="310"/>
      <c r="J103" s="328">
        <v>429000</v>
      </c>
      <c r="K103" s="543">
        <f t="shared" si="31"/>
        <v>0</v>
      </c>
      <c r="L103" s="602">
        <f t="shared" si="32"/>
        <v>429000</v>
      </c>
      <c r="M103" s="311"/>
      <c r="N103" s="311"/>
      <c r="O103" s="311"/>
      <c r="P103" s="294">
        <v>400000</v>
      </c>
      <c r="Q103" s="295"/>
      <c r="R103" s="294">
        <f t="shared" si="33"/>
        <v>400000</v>
      </c>
      <c r="S103" s="388"/>
      <c r="T103" s="709">
        <f t="shared" si="23"/>
        <v>29000</v>
      </c>
      <c r="U103" s="709"/>
      <c r="V103" s="709">
        <v>1</v>
      </c>
      <c r="W103" s="709"/>
      <c r="X103" s="604">
        <f t="shared" si="34"/>
        <v>0.93240093240093236</v>
      </c>
    </row>
    <row r="104" spans="1:24" s="297" customFormat="1" ht="38.25" outlineLevel="2">
      <c r="A104" s="254">
        <f>MAX(A$37:$A103)+1</f>
        <v>82</v>
      </c>
      <c r="B104" s="279" t="s">
        <v>504</v>
      </c>
      <c r="C104" s="263" t="s">
        <v>174</v>
      </c>
      <c r="D104" s="293" t="s">
        <v>173</v>
      </c>
      <c r="E104" s="293" t="s">
        <v>173</v>
      </c>
      <c r="F104" s="338" t="s">
        <v>473</v>
      </c>
      <c r="G104" s="340" t="s">
        <v>505</v>
      </c>
      <c r="H104" s="263" t="s">
        <v>330</v>
      </c>
      <c r="I104" s="310"/>
      <c r="J104" s="328">
        <v>25000</v>
      </c>
      <c r="K104" s="543">
        <f t="shared" si="31"/>
        <v>0</v>
      </c>
      <c r="L104" s="602">
        <f t="shared" si="32"/>
        <v>25000</v>
      </c>
      <c r="M104" s="311"/>
      <c r="N104" s="311"/>
      <c r="O104" s="311"/>
      <c r="P104" s="294">
        <v>25000</v>
      </c>
      <c r="Q104" s="295"/>
      <c r="R104" s="294">
        <f t="shared" si="33"/>
        <v>25000</v>
      </c>
      <c r="S104" s="388"/>
      <c r="T104" s="709">
        <f t="shared" si="23"/>
        <v>0</v>
      </c>
      <c r="U104" s="709"/>
      <c r="V104" s="709">
        <v>1</v>
      </c>
      <c r="W104" s="709"/>
      <c r="X104" s="604">
        <f t="shared" si="34"/>
        <v>1</v>
      </c>
    </row>
    <row r="105" spans="1:24" s="297" customFormat="1" ht="20.25" customHeight="1">
      <c r="A105" s="527" t="s">
        <v>838</v>
      </c>
      <c r="B105" s="298" t="s">
        <v>177</v>
      </c>
      <c r="C105" s="394"/>
      <c r="D105" s="343"/>
      <c r="E105" s="343"/>
      <c r="F105" s="344"/>
      <c r="G105" s="344"/>
      <c r="H105" s="394"/>
      <c r="I105" s="343"/>
      <c r="J105" s="346">
        <f>+J106</f>
        <v>420000</v>
      </c>
      <c r="K105" s="346">
        <f t="shared" ref="K105:R105" si="35">+K106</f>
        <v>290000</v>
      </c>
      <c r="L105" s="346">
        <f t="shared" si="35"/>
        <v>130000</v>
      </c>
      <c r="M105" s="346">
        <f t="shared" si="35"/>
        <v>0</v>
      </c>
      <c r="N105" s="346">
        <f t="shared" si="35"/>
        <v>0</v>
      </c>
      <c r="O105" s="346">
        <f t="shared" si="35"/>
        <v>0</v>
      </c>
      <c r="P105" s="346">
        <f t="shared" si="35"/>
        <v>130000</v>
      </c>
      <c r="Q105" s="346">
        <f t="shared" si="35"/>
        <v>0</v>
      </c>
      <c r="R105" s="346">
        <f t="shared" si="35"/>
        <v>130000</v>
      </c>
      <c r="S105" s="344"/>
      <c r="T105" s="709"/>
      <c r="U105" s="709"/>
      <c r="V105" s="709"/>
      <c r="W105" s="709"/>
    </row>
    <row r="106" spans="1:24" s="297" customFormat="1" ht="28.5" outlineLevel="1" collapsed="1">
      <c r="A106" s="323"/>
      <c r="B106" s="281" t="s">
        <v>533</v>
      </c>
      <c r="C106" s="393"/>
      <c r="D106" s="324"/>
      <c r="E106" s="324"/>
      <c r="F106" s="339"/>
      <c r="G106" s="339"/>
      <c r="H106" s="393"/>
      <c r="I106" s="324"/>
      <c r="J106" s="325">
        <f>SUM(J107:J119)</f>
        <v>420000</v>
      </c>
      <c r="K106" s="325">
        <f t="shared" ref="K106:R106" si="36">SUM(K107:K119)</f>
        <v>290000</v>
      </c>
      <c r="L106" s="325">
        <f t="shared" si="36"/>
        <v>130000</v>
      </c>
      <c r="M106" s="325">
        <f t="shared" si="36"/>
        <v>0</v>
      </c>
      <c r="N106" s="325">
        <f t="shared" si="36"/>
        <v>0</v>
      </c>
      <c r="O106" s="325">
        <f t="shared" si="36"/>
        <v>0</v>
      </c>
      <c r="P106" s="325">
        <f t="shared" si="36"/>
        <v>130000</v>
      </c>
      <c r="Q106" s="325">
        <f t="shared" si="36"/>
        <v>0</v>
      </c>
      <c r="R106" s="325">
        <f t="shared" si="36"/>
        <v>130000</v>
      </c>
      <c r="S106" s="387"/>
      <c r="T106" s="709"/>
      <c r="U106" s="709"/>
      <c r="V106" s="709"/>
      <c r="W106" s="709"/>
    </row>
    <row r="107" spans="1:24" ht="45.75" customHeight="1" outlineLevel="2">
      <c r="A107" s="254">
        <f>MAX(A$37:$A106)+1</f>
        <v>83</v>
      </c>
      <c r="B107" s="255" t="s">
        <v>512</v>
      </c>
      <c r="C107" s="560" t="s">
        <v>177</v>
      </c>
      <c r="D107" s="271" t="s">
        <v>173</v>
      </c>
      <c r="E107" s="271"/>
      <c r="F107" s="390" t="s">
        <v>467</v>
      </c>
      <c r="G107" s="379" t="s">
        <v>213</v>
      </c>
      <c r="H107" s="395" t="s">
        <v>513</v>
      </c>
      <c r="I107" s="372"/>
      <c r="J107" s="373">
        <v>10000</v>
      </c>
      <c r="K107" s="373"/>
      <c r="L107" s="373">
        <v>10000</v>
      </c>
      <c r="M107" s="78"/>
      <c r="N107" s="78"/>
      <c r="O107" s="78"/>
      <c r="P107" s="373">
        <f>Q107+R107</f>
        <v>10000</v>
      </c>
      <c r="Q107" s="78"/>
      <c r="R107" s="373">
        <v>10000</v>
      </c>
      <c r="S107" s="966" t="s">
        <v>514</v>
      </c>
      <c r="T107" s="709">
        <f t="shared" si="23"/>
        <v>0</v>
      </c>
      <c r="U107" s="709"/>
      <c r="V107" s="709">
        <v>1</v>
      </c>
      <c r="W107" s="709"/>
    </row>
    <row r="108" spans="1:24" ht="45" outlineLevel="2">
      <c r="A108" s="254">
        <f>MAX(A$37:$A107)+1</f>
        <v>84</v>
      </c>
      <c r="B108" s="255" t="s">
        <v>515</v>
      </c>
      <c r="C108" s="560" t="s">
        <v>177</v>
      </c>
      <c r="D108" s="271" t="s">
        <v>173</v>
      </c>
      <c r="E108" s="271"/>
      <c r="F108" s="390" t="s">
        <v>467</v>
      </c>
      <c r="G108" s="379" t="s">
        <v>213</v>
      </c>
      <c r="H108" s="395" t="s">
        <v>516</v>
      </c>
      <c r="I108" s="372"/>
      <c r="J108" s="373">
        <v>10000</v>
      </c>
      <c r="K108" s="373"/>
      <c r="L108" s="373">
        <v>10000</v>
      </c>
      <c r="M108" s="78"/>
      <c r="N108" s="78"/>
      <c r="O108" s="78"/>
      <c r="P108" s="373">
        <f t="shared" ref="P108:P119" si="37">Q108+R108</f>
        <v>10000</v>
      </c>
      <c r="Q108" s="78"/>
      <c r="R108" s="373">
        <v>10000</v>
      </c>
      <c r="S108" s="966"/>
      <c r="T108" s="709">
        <f t="shared" si="23"/>
        <v>0</v>
      </c>
      <c r="U108" s="709"/>
      <c r="V108" s="709">
        <v>1</v>
      </c>
      <c r="W108" s="709"/>
    </row>
    <row r="109" spans="1:24" ht="45" outlineLevel="2">
      <c r="A109" s="254">
        <f>MAX(A$37:$A108)+1</f>
        <v>85</v>
      </c>
      <c r="B109" s="255" t="s">
        <v>517</v>
      </c>
      <c r="C109" s="560" t="s">
        <v>177</v>
      </c>
      <c r="D109" s="271" t="s">
        <v>173</v>
      </c>
      <c r="E109" s="271"/>
      <c r="F109" s="390" t="s">
        <v>209</v>
      </c>
      <c r="G109" s="379" t="s">
        <v>213</v>
      </c>
      <c r="H109" s="395" t="s">
        <v>516</v>
      </c>
      <c r="I109" s="372"/>
      <c r="J109" s="373">
        <v>10000</v>
      </c>
      <c r="K109" s="373"/>
      <c r="L109" s="373">
        <v>10000</v>
      </c>
      <c r="M109" s="78"/>
      <c r="N109" s="78"/>
      <c r="O109" s="78"/>
      <c r="P109" s="373">
        <f t="shared" si="37"/>
        <v>10000</v>
      </c>
      <c r="Q109" s="78"/>
      <c r="R109" s="373">
        <v>10000</v>
      </c>
      <c r="S109" s="966"/>
      <c r="T109" s="709">
        <f t="shared" si="23"/>
        <v>0</v>
      </c>
      <c r="U109" s="709"/>
      <c r="V109" s="709">
        <v>1</v>
      </c>
      <c r="W109" s="709"/>
    </row>
    <row r="110" spans="1:24" ht="45" outlineLevel="2">
      <c r="A110" s="254">
        <f>MAX(A$37:$A109)+1</f>
        <v>86</v>
      </c>
      <c r="B110" s="255" t="s">
        <v>518</v>
      </c>
      <c r="C110" s="560" t="s">
        <v>177</v>
      </c>
      <c r="D110" s="271" t="s">
        <v>173</v>
      </c>
      <c r="E110" s="271"/>
      <c r="F110" s="390" t="s">
        <v>467</v>
      </c>
      <c r="G110" s="379" t="s">
        <v>213</v>
      </c>
      <c r="H110" s="395" t="s">
        <v>519</v>
      </c>
      <c r="I110" s="372"/>
      <c r="J110" s="373">
        <v>10000</v>
      </c>
      <c r="K110" s="373"/>
      <c r="L110" s="373">
        <v>10000</v>
      </c>
      <c r="M110" s="78"/>
      <c r="N110" s="78"/>
      <c r="O110" s="78"/>
      <c r="P110" s="373">
        <f t="shared" si="37"/>
        <v>10000</v>
      </c>
      <c r="Q110" s="78"/>
      <c r="R110" s="373">
        <v>10000</v>
      </c>
      <c r="S110" s="966"/>
      <c r="T110" s="709">
        <f t="shared" si="23"/>
        <v>0</v>
      </c>
      <c r="U110" s="709"/>
      <c r="V110" s="709">
        <v>1</v>
      </c>
      <c r="W110" s="709"/>
    </row>
    <row r="111" spans="1:24" ht="45" outlineLevel="2">
      <c r="A111" s="254">
        <f>MAX(A$37:$A110)+1</f>
        <v>87</v>
      </c>
      <c r="B111" s="255" t="s">
        <v>520</v>
      </c>
      <c r="C111" s="560" t="s">
        <v>177</v>
      </c>
      <c r="D111" s="271" t="s">
        <v>173</v>
      </c>
      <c r="E111" s="271"/>
      <c r="F111" s="390" t="s">
        <v>534</v>
      </c>
      <c r="G111" s="379" t="s">
        <v>213</v>
      </c>
      <c r="H111" s="395" t="s">
        <v>519</v>
      </c>
      <c r="I111" s="372"/>
      <c r="J111" s="373">
        <v>10000</v>
      </c>
      <c r="K111" s="373"/>
      <c r="L111" s="373">
        <v>10000</v>
      </c>
      <c r="M111" s="78"/>
      <c r="N111" s="78"/>
      <c r="O111" s="78"/>
      <c r="P111" s="373">
        <f t="shared" si="37"/>
        <v>10000</v>
      </c>
      <c r="Q111" s="78"/>
      <c r="R111" s="373">
        <v>10000</v>
      </c>
      <c r="S111" s="966"/>
      <c r="T111" s="709">
        <f t="shared" si="23"/>
        <v>0</v>
      </c>
      <c r="U111" s="709"/>
      <c r="V111" s="709">
        <v>1</v>
      </c>
      <c r="W111" s="709"/>
    </row>
    <row r="112" spans="1:24" ht="45" outlineLevel="2">
      <c r="A112" s="254">
        <f>MAX(A$37:$A111)+1</f>
        <v>88</v>
      </c>
      <c r="B112" s="255" t="s">
        <v>521</v>
      </c>
      <c r="C112" s="560" t="s">
        <v>177</v>
      </c>
      <c r="D112" s="271" t="s">
        <v>173</v>
      </c>
      <c r="E112" s="271"/>
      <c r="F112" s="390" t="s">
        <v>467</v>
      </c>
      <c r="G112" s="379" t="s">
        <v>213</v>
      </c>
      <c r="H112" s="395" t="s">
        <v>522</v>
      </c>
      <c r="I112" s="372"/>
      <c r="J112" s="373">
        <v>10000</v>
      </c>
      <c r="K112" s="373"/>
      <c r="L112" s="373">
        <v>10000</v>
      </c>
      <c r="M112" s="78"/>
      <c r="N112" s="78"/>
      <c r="O112" s="78"/>
      <c r="P112" s="373">
        <f t="shared" si="37"/>
        <v>10000</v>
      </c>
      <c r="Q112" s="78"/>
      <c r="R112" s="373">
        <v>10000</v>
      </c>
      <c r="S112" s="966"/>
      <c r="T112" s="709">
        <f t="shared" si="23"/>
        <v>0</v>
      </c>
      <c r="U112" s="709"/>
      <c r="V112" s="709">
        <v>1</v>
      </c>
      <c r="W112" s="709"/>
    </row>
    <row r="113" spans="1:23" ht="45" outlineLevel="2">
      <c r="A113" s="254">
        <f>MAX(A$37:$A112)+1</f>
        <v>89</v>
      </c>
      <c r="B113" s="255" t="s">
        <v>523</v>
      </c>
      <c r="C113" s="560" t="s">
        <v>177</v>
      </c>
      <c r="D113" s="271" t="s">
        <v>173</v>
      </c>
      <c r="E113" s="271"/>
      <c r="F113" s="390" t="s">
        <v>270</v>
      </c>
      <c r="G113" s="379" t="s">
        <v>213</v>
      </c>
      <c r="H113" s="395" t="s">
        <v>522</v>
      </c>
      <c r="I113" s="372"/>
      <c r="J113" s="373">
        <v>10000</v>
      </c>
      <c r="K113" s="373"/>
      <c r="L113" s="373">
        <v>10000</v>
      </c>
      <c r="M113" s="78"/>
      <c r="N113" s="78"/>
      <c r="O113" s="78"/>
      <c r="P113" s="373">
        <f t="shared" si="37"/>
        <v>10000</v>
      </c>
      <c r="Q113" s="78"/>
      <c r="R113" s="373">
        <v>10000</v>
      </c>
      <c r="S113" s="966"/>
      <c r="T113" s="709">
        <f t="shared" si="23"/>
        <v>0</v>
      </c>
      <c r="U113" s="709"/>
      <c r="V113" s="709">
        <v>1</v>
      </c>
      <c r="W113" s="709"/>
    </row>
    <row r="114" spans="1:23" ht="45" outlineLevel="2">
      <c r="A114" s="254">
        <f>MAX(A$37:$A113)+1</f>
        <v>90</v>
      </c>
      <c r="B114" s="255" t="s">
        <v>524</v>
      </c>
      <c r="C114" s="560" t="s">
        <v>177</v>
      </c>
      <c r="D114" s="271" t="s">
        <v>173</v>
      </c>
      <c r="E114" s="271"/>
      <c r="F114" s="390" t="s">
        <v>209</v>
      </c>
      <c r="G114" s="379" t="s">
        <v>213</v>
      </c>
      <c r="H114" s="395" t="s">
        <v>525</v>
      </c>
      <c r="I114" s="372"/>
      <c r="J114" s="373">
        <v>10000</v>
      </c>
      <c r="K114" s="373"/>
      <c r="L114" s="373">
        <v>10000</v>
      </c>
      <c r="M114" s="78"/>
      <c r="N114" s="78"/>
      <c r="O114" s="78"/>
      <c r="P114" s="373">
        <f t="shared" si="37"/>
        <v>10000</v>
      </c>
      <c r="Q114" s="78"/>
      <c r="R114" s="373">
        <v>10000</v>
      </c>
      <c r="S114" s="966"/>
      <c r="T114" s="709">
        <f t="shared" si="23"/>
        <v>0</v>
      </c>
      <c r="U114" s="709"/>
      <c r="V114" s="709">
        <v>1</v>
      </c>
      <c r="W114" s="709"/>
    </row>
    <row r="115" spans="1:23" ht="45" outlineLevel="2">
      <c r="A115" s="254">
        <f>MAX(A$37:$A114)+1</f>
        <v>91</v>
      </c>
      <c r="B115" s="255" t="s">
        <v>526</v>
      </c>
      <c r="C115" s="560" t="s">
        <v>177</v>
      </c>
      <c r="D115" s="271" t="s">
        <v>173</v>
      </c>
      <c r="E115" s="271"/>
      <c r="F115" s="390" t="s">
        <v>534</v>
      </c>
      <c r="G115" s="379" t="s">
        <v>213</v>
      </c>
      <c r="H115" s="395" t="s">
        <v>525</v>
      </c>
      <c r="I115" s="372"/>
      <c r="J115" s="373">
        <v>10000</v>
      </c>
      <c r="K115" s="373"/>
      <c r="L115" s="373">
        <v>10000</v>
      </c>
      <c r="M115" s="78"/>
      <c r="N115" s="78"/>
      <c r="O115" s="78"/>
      <c r="P115" s="373">
        <f t="shared" si="37"/>
        <v>10000</v>
      </c>
      <c r="Q115" s="78"/>
      <c r="R115" s="373">
        <v>10000</v>
      </c>
      <c r="S115" s="966"/>
      <c r="T115" s="709">
        <f t="shared" si="23"/>
        <v>0</v>
      </c>
      <c r="U115" s="709"/>
      <c r="V115" s="709">
        <v>1</v>
      </c>
      <c r="W115" s="709"/>
    </row>
    <row r="116" spans="1:23" ht="60" outlineLevel="2">
      <c r="A116" s="254">
        <f>MAX(A$37:$A115)+1</f>
        <v>92</v>
      </c>
      <c r="B116" s="255" t="s">
        <v>527</v>
      </c>
      <c r="C116" s="560" t="s">
        <v>177</v>
      </c>
      <c r="D116" s="271" t="s">
        <v>101</v>
      </c>
      <c r="E116" s="271"/>
      <c r="F116" s="390" t="s">
        <v>535</v>
      </c>
      <c r="G116" s="379" t="s">
        <v>528</v>
      </c>
      <c r="H116" s="395" t="s">
        <v>178</v>
      </c>
      <c r="I116" s="372"/>
      <c r="J116" s="373">
        <v>60000</v>
      </c>
      <c r="K116" s="373">
        <v>50000</v>
      </c>
      <c r="L116" s="373">
        <v>10000</v>
      </c>
      <c r="M116" s="78"/>
      <c r="N116" s="78"/>
      <c r="O116" s="78"/>
      <c r="P116" s="373">
        <f t="shared" si="37"/>
        <v>10000</v>
      </c>
      <c r="Q116" s="78"/>
      <c r="R116" s="373">
        <v>10000</v>
      </c>
      <c r="S116" s="609" t="s">
        <v>896</v>
      </c>
      <c r="T116" s="709">
        <f t="shared" si="23"/>
        <v>0</v>
      </c>
      <c r="U116" s="709"/>
      <c r="V116" s="709">
        <v>1</v>
      </c>
      <c r="W116" s="709"/>
    </row>
    <row r="117" spans="1:23" ht="60" outlineLevel="2">
      <c r="A117" s="254">
        <f>MAX(A$37:$A116)+1</f>
        <v>93</v>
      </c>
      <c r="B117" s="255" t="s">
        <v>530</v>
      </c>
      <c r="C117" s="560" t="s">
        <v>177</v>
      </c>
      <c r="D117" s="271" t="s">
        <v>101</v>
      </c>
      <c r="E117" s="271"/>
      <c r="F117" s="390" t="s">
        <v>467</v>
      </c>
      <c r="G117" s="379" t="s">
        <v>213</v>
      </c>
      <c r="H117" s="395" t="s">
        <v>178</v>
      </c>
      <c r="I117" s="372"/>
      <c r="J117" s="373">
        <v>90000</v>
      </c>
      <c r="K117" s="373">
        <v>80000</v>
      </c>
      <c r="L117" s="373">
        <v>10000</v>
      </c>
      <c r="M117" s="78"/>
      <c r="N117" s="78"/>
      <c r="O117" s="78"/>
      <c r="P117" s="373">
        <f t="shared" si="37"/>
        <v>10000</v>
      </c>
      <c r="Q117" s="78"/>
      <c r="R117" s="373">
        <v>10000</v>
      </c>
      <c r="S117" s="609" t="s">
        <v>896</v>
      </c>
      <c r="T117" s="709">
        <f t="shared" si="23"/>
        <v>0</v>
      </c>
      <c r="U117" s="709"/>
      <c r="V117" s="709">
        <v>1</v>
      </c>
      <c r="W117" s="709"/>
    </row>
    <row r="118" spans="1:23" ht="60" outlineLevel="2">
      <c r="A118" s="254">
        <f>MAX(A$37:$A117)+1</f>
        <v>94</v>
      </c>
      <c r="B118" s="255" t="s">
        <v>531</v>
      </c>
      <c r="C118" s="560" t="s">
        <v>177</v>
      </c>
      <c r="D118" s="271" t="s">
        <v>101</v>
      </c>
      <c r="E118" s="271"/>
      <c r="F118" s="390" t="s">
        <v>354</v>
      </c>
      <c r="G118" s="379" t="s">
        <v>213</v>
      </c>
      <c r="H118" s="395" t="s">
        <v>330</v>
      </c>
      <c r="I118" s="372"/>
      <c r="J118" s="373">
        <v>90000</v>
      </c>
      <c r="K118" s="373">
        <v>80000</v>
      </c>
      <c r="L118" s="373">
        <v>10000</v>
      </c>
      <c r="M118" s="78"/>
      <c r="N118" s="78"/>
      <c r="O118" s="78"/>
      <c r="P118" s="373">
        <f t="shared" si="37"/>
        <v>10000</v>
      </c>
      <c r="Q118" s="78"/>
      <c r="R118" s="373">
        <v>10000</v>
      </c>
      <c r="S118" s="609" t="s">
        <v>896</v>
      </c>
      <c r="T118" s="709">
        <f t="shared" si="23"/>
        <v>0</v>
      </c>
      <c r="U118" s="709"/>
      <c r="V118" s="709">
        <v>1</v>
      </c>
      <c r="W118" s="709"/>
    </row>
    <row r="119" spans="1:23" ht="46.5" customHeight="1" outlineLevel="2">
      <c r="A119" s="254">
        <f>MAX(A$37:$A118)+1</f>
        <v>95</v>
      </c>
      <c r="B119" s="255" t="s">
        <v>532</v>
      </c>
      <c r="C119" s="560" t="s">
        <v>177</v>
      </c>
      <c r="D119" s="271" t="s">
        <v>101</v>
      </c>
      <c r="E119" s="271"/>
      <c r="F119" s="390" t="s">
        <v>435</v>
      </c>
      <c r="G119" s="379" t="s">
        <v>213</v>
      </c>
      <c r="H119" s="395" t="s">
        <v>330</v>
      </c>
      <c r="I119" s="372"/>
      <c r="J119" s="373">
        <v>90000</v>
      </c>
      <c r="K119" s="373">
        <v>80000</v>
      </c>
      <c r="L119" s="373">
        <v>10000</v>
      </c>
      <c r="M119" s="78"/>
      <c r="N119" s="78"/>
      <c r="O119" s="78"/>
      <c r="P119" s="373">
        <f t="shared" si="37"/>
        <v>10000</v>
      </c>
      <c r="Q119" s="78"/>
      <c r="R119" s="373">
        <v>10000</v>
      </c>
      <c r="S119" s="609" t="s">
        <v>896</v>
      </c>
      <c r="T119" s="709">
        <f t="shared" si="23"/>
        <v>0</v>
      </c>
      <c r="U119" s="709"/>
      <c r="V119" s="709">
        <v>1</v>
      </c>
      <c r="W119" s="709"/>
    </row>
    <row r="120" spans="1:23" s="297" customFormat="1" ht="18.75" customHeight="1">
      <c r="A120" s="527" t="s">
        <v>839</v>
      </c>
      <c r="B120" s="298" t="s">
        <v>536</v>
      </c>
      <c r="C120" s="394"/>
      <c r="D120" s="343"/>
      <c r="E120" s="343"/>
      <c r="F120" s="344"/>
      <c r="G120" s="344"/>
      <c r="H120" s="394"/>
      <c r="I120" s="343"/>
      <c r="J120" s="346">
        <f>J121</f>
        <v>939019.5</v>
      </c>
      <c r="K120" s="346">
        <f t="shared" ref="K120:R120" si="38">K121</f>
        <v>330000</v>
      </c>
      <c r="L120" s="346">
        <f t="shared" si="38"/>
        <v>609019.5</v>
      </c>
      <c r="M120" s="346">
        <f t="shared" si="38"/>
        <v>0</v>
      </c>
      <c r="N120" s="346">
        <f t="shared" si="38"/>
        <v>0</v>
      </c>
      <c r="O120" s="346">
        <f t="shared" si="38"/>
        <v>0</v>
      </c>
      <c r="P120" s="346">
        <f t="shared" si="38"/>
        <v>539019.5</v>
      </c>
      <c r="Q120" s="346">
        <f t="shared" si="38"/>
        <v>0</v>
      </c>
      <c r="R120" s="346">
        <f t="shared" si="38"/>
        <v>539019.5</v>
      </c>
      <c r="S120" s="344"/>
      <c r="T120" s="709"/>
      <c r="U120" s="709"/>
      <c r="V120" s="709"/>
      <c r="W120" s="709"/>
    </row>
    <row r="121" spans="1:23" s="297" customFormat="1" ht="28.5" outlineLevel="1" collapsed="1">
      <c r="A121" s="323"/>
      <c r="B121" s="281" t="s">
        <v>533</v>
      </c>
      <c r="C121" s="393"/>
      <c r="D121" s="324"/>
      <c r="E121" s="324"/>
      <c r="F121" s="339"/>
      <c r="G121" s="339"/>
      <c r="H121" s="393"/>
      <c r="I121" s="324"/>
      <c r="J121" s="325">
        <f>SUM(J122:J133)</f>
        <v>939019.5</v>
      </c>
      <c r="K121" s="325">
        <f t="shared" ref="K121:R121" si="39">SUM(K122:K133)</f>
        <v>330000</v>
      </c>
      <c r="L121" s="325">
        <f t="shared" si="39"/>
        <v>609019.5</v>
      </c>
      <c r="M121" s="325">
        <f t="shared" si="39"/>
        <v>0</v>
      </c>
      <c r="N121" s="325">
        <f t="shared" si="39"/>
        <v>0</v>
      </c>
      <c r="O121" s="325">
        <f t="shared" si="39"/>
        <v>0</v>
      </c>
      <c r="P121" s="325">
        <f t="shared" si="39"/>
        <v>539019.5</v>
      </c>
      <c r="Q121" s="325">
        <f t="shared" si="39"/>
        <v>0</v>
      </c>
      <c r="R121" s="325">
        <f t="shared" si="39"/>
        <v>539019.5</v>
      </c>
      <c r="S121" s="387"/>
      <c r="T121" s="709"/>
      <c r="U121" s="709"/>
      <c r="V121" s="709"/>
      <c r="W121" s="709"/>
    </row>
    <row r="122" spans="1:23" ht="30" outlineLevel="2">
      <c r="A122" s="254">
        <f>MAX(A$37:$A121)+1</f>
        <v>96</v>
      </c>
      <c r="B122" s="255" t="s">
        <v>542</v>
      </c>
      <c r="C122" s="560" t="s">
        <v>538</v>
      </c>
      <c r="D122" s="271" t="s">
        <v>101</v>
      </c>
      <c r="E122" s="271" t="s">
        <v>101</v>
      </c>
      <c r="F122" s="390" t="s">
        <v>556</v>
      </c>
      <c r="G122" s="379" t="s">
        <v>213</v>
      </c>
      <c r="H122" s="395" t="s">
        <v>879</v>
      </c>
      <c r="I122" s="372"/>
      <c r="J122" s="373">
        <f>K122+L122</f>
        <v>480000</v>
      </c>
      <c r="K122" s="373">
        <v>330000</v>
      </c>
      <c r="L122" s="373">
        <v>150000</v>
      </c>
      <c r="M122" s="78"/>
      <c r="N122" s="78"/>
      <c r="O122" s="78"/>
      <c r="P122" s="373">
        <f>Q122+R122</f>
        <v>150000</v>
      </c>
      <c r="Q122" s="78"/>
      <c r="R122" s="373">
        <v>150000</v>
      </c>
      <c r="S122" s="609" t="s">
        <v>897</v>
      </c>
      <c r="T122" s="709">
        <f t="shared" si="23"/>
        <v>0</v>
      </c>
      <c r="U122" s="709"/>
      <c r="V122" s="709">
        <v>1</v>
      </c>
      <c r="W122" s="709"/>
    </row>
    <row r="123" spans="1:23" ht="30" outlineLevel="2">
      <c r="A123" s="254">
        <f>MAX(A$37:$A122)+1</f>
        <v>97</v>
      </c>
      <c r="B123" s="255" t="s">
        <v>543</v>
      </c>
      <c r="C123" s="560" t="s">
        <v>538</v>
      </c>
      <c r="D123" s="271" t="s">
        <v>101</v>
      </c>
      <c r="E123" s="271" t="s">
        <v>101</v>
      </c>
      <c r="F123" s="390" t="s">
        <v>231</v>
      </c>
      <c r="G123" s="379" t="s">
        <v>213</v>
      </c>
      <c r="H123" s="395" t="s">
        <v>211</v>
      </c>
      <c r="I123" s="372"/>
      <c r="J123" s="373">
        <f t="shared" ref="J123:J132" si="40">K123+L123</f>
        <v>180000</v>
      </c>
      <c r="K123" s="375"/>
      <c r="L123" s="373">
        <v>180000</v>
      </c>
      <c r="M123" s="78"/>
      <c r="N123" s="78"/>
      <c r="O123" s="78"/>
      <c r="P123" s="373">
        <f t="shared" ref="P123:P132" si="41">Q123+R123</f>
        <v>180000</v>
      </c>
      <c r="Q123" s="78"/>
      <c r="R123" s="373">
        <v>180000</v>
      </c>
      <c r="S123" s="313"/>
      <c r="T123" s="709">
        <f t="shared" si="23"/>
        <v>0</v>
      </c>
      <c r="U123" s="709"/>
      <c r="V123" s="709">
        <v>1</v>
      </c>
      <c r="W123" s="709"/>
    </row>
    <row r="124" spans="1:23" ht="30" outlineLevel="2">
      <c r="A124" s="254">
        <f>MAX(A$37:$A123)+1</f>
        <v>98</v>
      </c>
      <c r="B124" s="255" t="s">
        <v>553</v>
      </c>
      <c r="C124" s="560" t="s">
        <v>541</v>
      </c>
      <c r="D124" s="271" t="s">
        <v>101</v>
      </c>
      <c r="E124" s="271" t="s">
        <v>173</v>
      </c>
      <c r="F124" s="390" t="s">
        <v>557</v>
      </c>
      <c r="G124" s="379"/>
      <c r="H124" s="410" t="s">
        <v>968</v>
      </c>
      <c r="I124" s="372"/>
      <c r="J124" s="373">
        <v>53700</v>
      </c>
      <c r="K124" s="375"/>
      <c r="L124" s="373">
        <v>53700</v>
      </c>
      <c r="M124" s="78"/>
      <c r="N124" s="78"/>
      <c r="O124" s="78"/>
      <c r="P124" s="373">
        <v>53700</v>
      </c>
      <c r="Q124" s="375"/>
      <c r="R124" s="373">
        <v>53700</v>
      </c>
      <c r="S124" s="313"/>
      <c r="T124" s="709">
        <f t="shared" si="23"/>
        <v>0</v>
      </c>
      <c r="U124" s="709"/>
      <c r="V124" s="709">
        <v>1</v>
      </c>
      <c r="W124" s="709"/>
    </row>
    <row r="125" spans="1:23" ht="45" outlineLevel="2">
      <c r="A125" s="254">
        <f>MAX(A$37:$A124)+1</f>
        <v>99</v>
      </c>
      <c r="B125" s="255" t="s">
        <v>544</v>
      </c>
      <c r="C125" s="560" t="s">
        <v>538</v>
      </c>
      <c r="D125" s="271" t="s">
        <v>173</v>
      </c>
      <c r="E125" s="271" t="s">
        <v>173</v>
      </c>
      <c r="F125" s="390" t="s">
        <v>556</v>
      </c>
      <c r="G125" s="379" t="s">
        <v>213</v>
      </c>
      <c r="H125" s="409" t="s">
        <v>513</v>
      </c>
      <c r="I125" s="372"/>
      <c r="J125" s="373">
        <f>K125+L125</f>
        <v>9400</v>
      </c>
      <c r="K125" s="375"/>
      <c r="L125" s="373">
        <v>9400</v>
      </c>
      <c r="M125" s="78"/>
      <c r="N125" s="78"/>
      <c r="O125" s="78"/>
      <c r="P125" s="373">
        <f t="shared" si="41"/>
        <v>9400</v>
      </c>
      <c r="Q125" s="78"/>
      <c r="R125" s="373">
        <v>9400</v>
      </c>
      <c r="S125" s="313"/>
      <c r="T125" s="709">
        <f t="shared" si="23"/>
        <v>0</v>
      </c>
      <c r="U125" s="709"/>
      <c r="V125" s="709">
        <v>1</v>
      </c>
      <c r="W125" s="709"/>
    </row>
    <row r="126" spans="1:23" ht="45" outlineLevel="2">
      <c r="A126" s="254">
        <f>MAX(A$37:$A125)+1</f>
        <v>100</v>
      </c>
      <c r="B126" s="255" t="s">
        <v>545</v>
      </c>
      <c r="C126" s="560" t="s">
        <v>538</v>
      </c>
      <c r="D126" s="271" t="s">
        <v>173</v>
      </c>
      <c r="E126" s="271" t="s">
        <v>173</v>
      </c>
      <c r="F126" s="390" t="s">
        <v>539</v>
      </c>
      <c r="G126" s="379" t="s">
        <v>213</v>
      </c>
      <c r="H126" s="409" t="s">
        <v>513</v>
      </c>
      <c r="I126" s="372"/>
      <c r="J126" s="373">
        <f t="shared" si="40"/>
        <v>10119.5</v>
      </c>
      <c r="K126" s="375"/>
      <c r="L126" s="373">
        <v>10119.5</v>
      </c>
      <c r="M126" s="78"/>
      <c r="N126" s="78"/>
      <c r="O126" s="78"/>
      <c r="P126" s="373">
        <f t="shared" si="41"/>
        <v>10119.5</v>
      </c>
      <c r="Q126" s="78"/>
      <c r="R126" s="373">
        <v>10119.5</v>
      </c>
      <c r="S126" s="313"/>
      <c r="T126" s="709">
        <f t="shared" si="23"/>
        <v>0</v>
      </c>
      <c r="U126" s="709"/>
      <c r="V126" s="709">
        <v>1</v>
      </c>
      <c r="W126" s="709"/>
    </row>
    <row r="127" spans="1:23" ht="30" outlineLevel="2">
      <c r="A127" s="254">
        <f>MAX(A$37:$A126)+1</f>
        <v>101</v>
      </c>
      <c r="B127" s="255" t="s">
        <v>546</v>
      </c>
      <c r="C127" s="560" t="s">
        <v>538</v>
      </c>
      <c r="D127" s="271" t="s">
        <v>173</v>
      </c>
      <c r="E127" s="271" t="s">
        <v>173</v>
      </c>
      <c r="F127" s="390" t="s">
        <v>556</v>
      </c>
      <c r="G127" s="379" t="s">
        <v>213</v>
      </c>
      <c r="H127" s="410">
        <v>2026</v>
      </c>
      <c r="I127" s="372"/>
      <c r="J127" s="373">
        <f t="shared" si="40"/>
        <v>13600</v>
      </c>
      <c r="K127" s="375"/>
      <c r="L127" s="373">
        <v>13600</v>
      </c>
      <c r="M127" s="78"/>
      <c r="N127" s="78"/>
      <c r="O127" s="78"/>
      <c r="P127" s="373">
        <f t="shared" si="41"/>
        <v>13600</v>
      </c>
      <c r="Q127" s="78"/>
      <c r="R127" s="373">
        <v>13600</v>
      </c>
      <c r="S127" s="313"/>
      <c r="T127" s="709">
        <f t="shared" si="23"/>
        <v>0</v>
      </c>
      <c r="U127" s="709"/>
      <c r="V127" s="709">
        <v>1</v>
      </c>
      <c r="W127" s="709"/>
    </row>
    <row r="128" spans="1:23" ht="30" outlineLevel="2">
      <c r="A128" s="254">
        <f>MAX(A$37:$A127)+1</f>
        <v>102</v>
      </c>
      <c r="B128" s="255" t="s">
        <v>547</v>
      </c>
      <c r="C128" s="560" t="s">
        <v>540</v>
      </c>
      <c r="D128" s="271" t="s">
        <v>173</v>
      </c>
      <c r="E128" s="271" t="s">
        <v>173</v>
      </c>
      <c r="F128" s="390" t="s">
        <v>217</v>
      </c>
      <c r="G128" s="379" t="s">
        <v>213</v>
      </c>
      <c r="H128" s="410">
        <v>2027</v>
      </c>
      <c r="I128" s="372"/>
      <c r="J128" s="373">
        <f t="shared" si="40"/>
        <v>13600</v>
      </c>
      <c r="K128" s="375"/>
      <c r="L128" s="373">
        <v>13600</v>
      </c>
      <c r="M128" s="78"/>
      <c r="N128" s="78"/>
      <c r="O128" s="78"/>
      <c r="P128" s="373">
        <f t="shared" si="41"/>
        <v>13600</v>
      </c>
      <c r="Q128" s="78"/>
      <c r="R128" s="373">
        <v>13600</v>
      </c>
      <c r="S128" s="313"/>
      <c r="T128" s="709">
        <f t="shared" si="23"/>
        <v>0</v>
      </c>
      <c r="U128" s="709"/>
      <c r="V128" s="709">
        <v>1</v>
      </c>
      <c r="W128" s="709"/>
    </row>
    <row r="129" spans="1:23" ht="30" outlineLevel="2">
      <c r="A129" s="254">
        <f>MAX(A$37:$A128)+1</f>
        <v>103</v>
      </c>
      <c r="B129" s="255" t="s">
        <v>548</v>
      </c>
      <c r="C129" s="560" t="s">
        <v>538</v>
      </c>
      <c r="D129" s="271" t="s">
        <v>173</v>
      </c>
      <c r="E129" s="271" t="s">
        <v>173</v>
      </c>
      <c r="F129" s="390" t="s">
        <v>270</v>
      </c>
      <c r="G129" s="379" t="s">
        <v>213</v>
      </c>
      <c r="H129" s="410">
        <v>2027</v>
      </c>
      <c r="I129" s="372"/>
      <c r="J129" s="373">
        <f t="shared" si="40"/>
        <v>13600</v>
      </c>
      <c r="K129" s="375"/>
      <c r="L129" s="373">
        <v>13600</v>
      </c>
      <c r="M129" s="78"/>
      <c r="N129" s="78"/>
      <c r="O129" s="78"/>
      <c r="P129" s="373">
        <f t="shared" si="41"/>
        <v>13600</v>
      </c>
      <c r="Q129" s="78"/>
      <c r="R129" s="373">
        <v>13600</v>
      </c>
      <c r="S129" s="313"/>
      <c r="T129" s="709">
        <f t="shared" si="23"/>
        <v>0</v>
      </c>
      <c r="U129" s="709"/>
      <c r="V129" s="709">
        <v>1</v>
      </c>
      <c r="W129" s="709"/>
    </row>
    <row r="130" spans="1:23" ht="30" outlineLevel="2">
      <c r="A130" s="254">
        <f>MAX(A$37:$A129)+1</f>
        <v>104</v>
      </c>
      <c r="B130" s="255" t="s">
        <v>549</v>
      </c>
      <c r="C130" s="560" t="s">
        <v>538</v>
      </c>
      <c r="D130" s="271" t="s">
        <v>173</v>
      </c>
      <c r="E130" s="271" t="s">
        <v>173</v>
      </c>
      <c r="F130" s="390" t="s">
        <v>556</v>
      </c>
      <c r="G130" s="379" t="s">
        <v>213</v>
      </c>
      <c r="H130" s="410">
        <v>2027</v>
      </c>
      <c r="I130" s="372"/>
      <c r="J130" s="373">
        <f t="shared" si="40"/>
        <v>5000</v>
      </c>
      <c r="K130" s="375"/>
      <c r="L130" s="373">
        <v>5000</v>
      </c>
      <c r="M130" s="78"/>
      <c r="N130" s="78"/>
      <c r="O130" s="78"/>
      <c r="P130" s="373">
        <f t="shared" si="41"/>
        <v>5000</v>
      </c>
      <c r="Q130" s="78"/>
      <c r="R130" s="373">
        <v>5000</v>
      </c>
      <c r="S130" s="313"/>
      <c r="T130" s="709">
        <f t="shared" si="23"/>
        <v>0</v>
      </c>
      <c r="U130" s="709"/>
      <c r="V130" s="709">
        <v>1</v>
      </c>
      <c r="W130" s="709"/>
    </row>
    <row r="131" spans="1:23" ht="30" outlineLevel="2">
      <c r="A131" s="254">
        <f>MAX(A$37:$A130)+1</f>
        <v>105</v>
      </c>
      <c r="B131" s="255" t="s">
        <v>551</v>
      </c>
      <c r="C131" s="560" t="s">
        <v>538</v>
      </c>
      <c r="D131" s="271" t="s">
        <v>173</v>
      </c>
      <c r="E131" s="271" t="s">
        <v>173</v>
      </c>
      <c r="F131" s="390" t="s">
        <v>270</v>
      </c>
      <c r="G131" s="379" t="s">
        <v>213</v>
      </c>
      <c r="H131" s="410">
        <v>2028</v>
      </c>
      <c r="I131" s="372"/>
      <c r="J131" s="373">
        <f t="shared" si="40"/>
        <v>30000</v>
      </c>
      <c r="K131" s="375"/>
      <c r="L131" s="373">
        <v>30000</v>
      </c>
      <c r="M131" s="78"/>
      <c r="N131" s="78"/>
      <c r="O131" s="78"/>
      <c r="P131" s="373">
        <f t="shared" si="41"/>
        <v>30000</v>
      </c>
      <c r="Q131" s="78"/>
      <c r="R131" s="373">
        <v>30000</v>
      </c>
      <c r="S131" s="313"/>
      <c r="T131" s="709">
        <f t="shared" si="23"/>
        <v>0</v>
      </c>
      <c r="U131" s="709"/>
      <c r="V131" s="709">
        <v>1</v>
      </c>
      <c r="W131" s="709"/>
    </row>
    <row r="132" spans="1:23" ht="30" outlineLevel="2">
      <c r="A132" s="254">
        <f>MAX(A$37:$A131)+1</f>
        <v>106</v>
      </c>
      <c r="B132" s="255" t="s">
        <v>554</v>
      </c>
      <c r="C132" s="560" t="s">
        <v>538</v>
      </c>
      <c r="D132" s="271" t="s">
        <v>101</v>
      </c>
      <c r="E132" s="271" t="s">
        <v>173</v>
      </c>
      <c r="F132" s="390" t="s">
        <v>223</v>
      </c>
      <c r="G132" s="379" t="s">
        <v>213</v>
      </c>
      <c r="H132" s="410" t="s">
        <v>924</v>
      </c>
      <c r="I132" s="372"/>
      <c r="J132" s="373">
        <f t="shared" si="40"/>
        <v>50000</v>
      </c>
      <c r="K132" s="375"/>
      <c r="L132" s="373">
        <v>50000</v>
      </c>
      <c r="M132" s="78"/>
      <c r="N132" s="78"/>
      <c r="O132" s="78"/>
      <c r="P132" s="373">
        <f t="shared" si="41"/>
        <v>20000</v>
      </c>
      <c r="Q132" s="78"/>
      <c r="R132" s="373">
        <v>20000</v>
      </c>
      <c r="S132" s="313"/>
      <c r="T132" s="713">
        <f t="shared" si="23"/>
        <v>30000</v>
      </c>
      <c r="U132" s="713">
        <v>1</v>
      </c>
      <c r="V132" s="709"/>
      <c r="W132" s="709"/>
    </row>
    <row r="133" spans="1:23" ht="30" outlineLevel="2">
      <c r="A133" s="254">
        <f>MAX(A$37:$A132)+1</f>
        <v>107</v>
      </c>
      <c r="B133" s="255" t="s">
        <v>550</v>
      </c>
      <c r="C133" s="560" t="s">
        <v>538</v>
      </c>
      <c r="D133" s="271" t="s">
        <v>101</v>
      </c>
      <c r="E133" s="271" t="s">
        <v>173</v>
      </c>
      <c r="F133" s="390" t="s">
        <v>270</v>
      </c>
      <c r="G133" s="379" t="s">
        <v>213</v>
      </c>
      <c r="H133" s="410" t="s">
        <v>924</v>
      </c>
      <c r="I133" s="372"/>
      <c r="J133" s="373">
        <f>K133+L133</f>
        <v>80000</v>
      </c>
      <c r="K133" s="375"/>
      <c r="L133" s="373">
        <v>80000</v>
      </c>
      <c r="M133" s="78"/>
      <c r="N133" s="78"/>
      <c r="O133" s="78"/>
      <c r="P133" s="373">
        <f>Q133+R133</f>
        <v>40000</v>
      </c>
      <c r="Q133" s="78"/>
      <c r="R133" s="373">
        <v>40000</v>
      </c>
      <c r="S133" s="313"/>
      <c r="T133" s="713">
        <f>L133-R133</f>
        <v>40000</v>
      </c>
      <c r="U133" s="713">
        <v>1</v>
      </c>
      <c r="V133" s="709"/>
      <c r="W133" s="709"/>
    </row>
    <row r="134" spans="1:23" s="297" customFormat="1" ht="19.899999999999999" customHeight="1">
      <c r="A134" s="527" t="s">
        <v>840</v>
      </c>
      <c r="B134" s="298" t="s">
        <v>559</v>
      </c>
      <c r="C134" s="394"/>
      <c r="D134" s="343"/>
      <c r="E134" s="343"/>
      <c r="F134" s="344"/>
      <c r="G134" s="344"/>
      <c r="H134" s="394"/>
      <c r="I134" s="343"/>
      <c r="J134" s="346">
        <f>+J135</f>
        <v>165000</v>
      </c>
      <c r="K134" s="346">
        <f t="shared" ref="K134:R134" si="42">+K135</f>
        <v>35000</v>
      </c>
      <c r="L134" s="346">
        <f t="shared" si="42"/>
        <v>130000</v>
      </c>
      <c r="M134" s="346">
        <f t="shared" si="42"/>
        <v>0</v>
      </c>
      <c r="N134" s="346">
        <f t="shared" si="42"/>
        <v>0</v>
      </c>
      <c r="O134" s="346">
        <f t="shared" si="42"/>
        <v>0</v>
      </c>
      <c r="P134" s="346">
        <f t="shared" si="42"/>
        <v>130000</v>
      </c>
      <c r="Q134" s="346">
        <f t="shared" si="42"/>
        <v>0</v>
      </c>
      <c r="R134" s="346">
        <f t="shared" si="42"/>
        <v>130000</v>
      </c>
      <c r="S134" s="344"/>
      <c r="T134" s="709"/>
      <c r="U134" s="709"/>
      <c r="V134" s="709"/>
      <c r="W134" s="709"/>
    </row>
    <row r="135" spans="1:23" s="297" customFormat="1" ht="28.5" outlineLevel="1" collapsed="1">
      <c r="A135" s="323"/>
      <c r="B135" s="281" t="s">
        <v>533</v>
      </c>
      <c r="C135" s="393"/>
      <c r="D135" s="324"/>
      <c r="E135" s="324"/>
      <c r="F135" s="339"/>
      <c r="G135" s="339"/>
      <c r="H135" s="393"/>
      <c r="I135" s="324"/>
      <c r="J135" s="325">
        <f t="shared" ref="J135:R135" si="43">SUM(J136:J142)</f>
        <v>165000</v>
      </c>
      <c r="K135" s="325">
        <f t="shared" si="43"/>
        <v>35000</v>
      </c>
      <c r="L135" s="325">
        <f t="shared" si="43"/>
        <v>130000</v>
      </c>
      <c r="M135" s="325">
        <f t="shared" si="43"/>
        <v>0</v>
      </c>
      <c r="N135" s="325">
        <f t="shared" si="43"/>
        <v>0</v>
      </c>
      <c r="O135" s="325">
        <f t="shared" si="43"/>
        <v>0</v>
      </c>
      <c r="P135" s="325">
        <f t="shared" si="43"/>
        <v>130000</v>
      </c>
      <c r="Q135" s="325">
        <f t="shared" si="43"/>
        <v>0</v>
      </c>
      <c r="R135" s="325">
        <f t="shared" si="43"/>
        <v>130000</v>
      </c>
      <c r="S135" s="387"/>
      <c r="T135" s="709"/>
      <c r="U135" s="709"/>
      <c r="V135" s="709"/>
      <c r="W135" s="709"/>
    </row>
    <row r="136" spans="1:23" ht="30" outlineLevel="2">
      <c r="A136" s="254">
        <f>MAX(A$122:$A135)+1</f>
        <v>108</v>
      </c>
      <c r="B136" s="255" t="s">
        <v>565</v>
      </c>
      <c r="C136" s="560" t="s">
        <v>559</v>
      </c>
      <c r="D136" s="271" t="s">
        <v>173</v>
      </c>
      <c r="E136" s="271"/>
      <c r="F136" s="390" t="s">
        <v>467</v>
      </c>
      <c r="G136" s="379"/>
      <c r="H136" s="410" t="s">
        <v>330</v>
      </c>
      <c r="I136" s="372"/>
      <c r="J136" s="373">
        <v>35000</v>
      </c>
      <c r="K136" s="375"/>
      <c r="L136" s="373">
        <v>35000</v>
      </c>
      <c r="M136" s="78"/>
      <c r="N136" s="78"/>
      <c r="O136" s="78"/>
      <c r="P136" s="373">
        <v>35000</v>
      </c>
      <c r="Q136" s="78"/>
      <c r="R136" s="373">
        <v>35000</v>
      </c>
      <c r="S136" s="313"/>
      <c r="T136" s="709">
        <f t="shared" si="23"/>
        <v>0</v>
      </c>
      <c r="U136" s="709"/>
      <c r="V136" s="709">
        <v>1</v>
      </c>
      <c r="W136" s="709"/>
    </row>
    <row r="137" spans="1:23" ht="30" outlineLevel="2">
      <c r="A137" s="254">
        <f>MAX(A$122:$A136)+1</f>
        <v>109</v>
      </c>
      <c r="B137" s="255" t="s">
        <v>566</v>
      </c>
      <c r="C137" s="560" t="s">
        <v>559</v>
      </c>
      <c r="D137" s="271" t="s">
        <v>173</v>
      </c>
      <c r="E137" s="271"/>
      <c r="F137" s="390" t="s">
        <v>209</v>
      </c>
      <c r="G137" s="379"/>
      <c r="H137" s="410">
        <v>2026</v>
      </c>
      <c r="I137" s="372"/>
      <c r="J137" s="373">
        <v>10000</v>
      </c>
      <c r="K137" s="375"/>
      <c r="L137" s="373">
        <v>10000</v>
      </c>
      <c r="M137" s="78"/>
      <c r="N137" s="78"/>
      <c r="O137" s="78"/>
      <c r="P137" s="373">
        <v>10000</v>
      </c>
      <c r="Q137" s="78"/>
      <c r="R137" s="373">
        <v>10000</v>
      </c>
      <c r="S137" s="313"/>
      <c r="T137" s="709">
        <f t="shared" si="23"/>
        <v>0</v>
      </c>
      <c r="U137" s="709"/>
      <c r="V137" s="709">
        <v>1</v>
      </c>
      <c r="W137" s="709"/>
    </row>
    <row r="138" spans="1:23" ht="45" outlineLevel="2">
      <c r="A138" s="254">
        <f>MAX(A$122:$A137)+1</f>
        <v>110</v>
      </c>
      <c r="B138" s="255" t="s">
        <v>567</v>
      </c>
      <c r="C138" s="560" t="s">
        <v>559</v>
      </c>
      <c r="D138" s="271" t="s">
        <v>173</v>
      </c>
      <c r="E138" s="271"/>
      <c r="F138" s="390" t="s">
        <v>561</v>
      </c>
      <c r="G138" s="379"/>
      <c r="H138" s="410">
        <v>2027</v>
      </c>
      <c r="I138" s="372"/>
      <c r="J138" s="373">
        <v>8500</v>
      </c>
      <c r="K138" s="375"/>
      <c r="L138" s="373">
        <v>8500</v>
      </c>
      <c r="M138" s="78"/>
      <c r="N138" s="78"/>
      <c r="O138" s="78"/>
      <c r="P138" s="373">
        <v>8500</v>
      </c>
      <c r="Q138" s="78"/>
      <c r="R138" s="373">
        <v>8500</v>
      </c>
      <c r="S138" s="313"/>
      <c r="T138" s="709">
        <f t="shared" si="23"/>
        <v>0</v>
      </c>
      <c r="U138" s="709"/>
      <c r="V138" s="709">
        <v>1</v>
      </c>
      <c r="W138" s="709"/>
    </row>
    <row r="139" spans="1:23" ht="38.25" outlineLevel="2">
      <c r="A139" s="254">
        <f>MAX(A$122:$A138)+1</f>
        <v>111</v>
      </c>
      <c r="B139" s="255" t="s">
        <v>568</v>
      </c>
      <c r="C139" s="560" t="s">
        <v>559</v>
      </c>
      <c r="D139" s="271" t="s">
        <v>173</v>
      </c>
      <c r="E139" s="271"/>
      <c r="F139" s="390" t="s">
        <v>561</v>
      </c>
      <c r="G139" s="379"/>
      <c r="H139" s="410" t="s">
        <v>444</v>
      </c>
      <c r="I139" s="372"/>
      <c r="J139" s="373">
        <v>70000</v>
      </c>
      <c r="K139" s="373">
        <f>J139-L139</f>
        <v>35000</v>
      </c>
      <c r="L139" s="373">
        <v>35000</v>
      </c>
      <c r="M139" s="78"/>
      <c r="N139" s="78"/>
      <c r="O139" s="78"/>
      <c r="P139" s="373">
        <v>35000</v>
      </c>
      <c r="Q139" s="78"/>
      <c r="R139" s="373">
        <v>35000</v>
      </c>
      <c r="S139" s="534" t="s">
        <v>562</v>
      </c>
      <c r="T139" s="709">
        <f t="shared" si="23"/>
        <v>0</v>
      </c>
      <c r="U139" s="709"/>
      <c r="V139" s="709">
        <v>1</v>
      </c>
      <c r="W139" s="709"/>
    </row>
    <row r="140" spans="1:23" ht="30" outlineLevel="2">
      <c r="A140" s="254">
        <f>MAX(A$122:$A139)+1</f>
        <v>112</v>
      </c>
      <c r="B140" s="255" t="s">
        <v>569</v>
      </c>
      <c r="C140" s="560" t="s">
        <v>559</v>
      </c>
      <c r="D140" s="271" t="s">
        <v>173</v>
      </c>
      <c r="E140" s="271"/>
      <c r="F140" s="390" t="s">
        <v>249</v>
      </c>
      <c r="G140" s="379"/>
      <c r="H140" s="410" t="s">
        <v>563</v>
      </c>
      <c r="I140" s="372"/>
      <c r="J140" s="373">
        <v>30000</v>
      </c>
      <c r="K140" s="375"/>
      <c r="L140" s="373">
        <v>30000</v>
      </c>
      <c r="M140" s="78"/>
      <c r="N140" s="78"/>
      <c r="O140" s="78"/>
      <c r="P140" s="373">
        <v>30000</v>
      </c>
      <c r="Q140" s="78"/>
      <c r="R140" s="373">
        <v>30000</v>
      </c>
      <c r="S140" s="313"/>
      <c r="T140" s="709">
        <f t="shared" si="23"/>
        <v>0</v>
      </c>
      <c r="U140" s="709"/>
      <c r="V140" s="709">
        <v>1</v>
      </c>
      <c r="W140" s="709"/>
    </row>
    <row r="141" spans="1:23" ht="30" outlineLevel="2">
      <c r="A141" s="254">
        <f>MAX(A$122:$A140)+1</f>
        <v>113</v>
      </c>
      <c r="B141" s="255" t="s">
        <v>571</v>
      </c>
      <c r="C141" s="560" t="s">
        <v>559</v>
      </c>
      <c r="D141" s="271" t="s">
        <v>173</v>
      </c>
      <c r="E141" s="271"/>
      <c r="F141" s="390" t="s">
        <v>560</v>
      </c>
      <c r="G141" s="379"/>
      <c r="H141" s="410">
        <v>2030</v>
      </c>
      <c r="I141" s="372"/>
      <c r="J141" s="373">
        <v>3000</v>
      </c>
      <c r="K141" s="375"/>
      <c r="L141" s="373">
        <v>3000</v>
      </c>
      <c r="M141" s="78"/>
      <c r="N141" s="78"/>
      <c r="O141" s="78"/>
      <c r="P141" s="373">
        <v>3000</v>
      </c>
      <c r="Q141" s="78"/>
      <c r="R141" s="373">
        <v>3000</v>
      </c>
      <c r="S141" s="313"/>
      <c r="T141" s="709">
        <f t="shared" si="23"/>
        <v>0</v>
      </c>
      <c r="U141" s="709"/>
      <c r="V141" s="709">
        <v>1</v>
      </c>
      <c r="W141" s="709"/>
    </row>
    <row r="142" spans="1:23" ht="45" outlineLevel="2">
      <c r="A142" s="254">
        <f>MAX(A$122:$A141)+1</f>
        <v>114</v>
      </c>
      <c r="B142" s="255" t="s">
        <v>572</v>
      </c>
      <c r="C142" s="560" t="s">
        <v>559</v>
      </c>
      <c r="D142" s="271" t="s">
        <v>173</v>
      </c>
      <c r="E142" s="271"/>
      <c r="F142" s="390" t="s">
        <v>564</v>
      </c>
      <c r="G142" s="379"/>
      <c r="H142" s="410">
        <v>2030</v>
      </c>
      <c r="I142" s="372"/>
      <c r="J142" s="373">
        <v>8500</v>
      </c>
      <c r="K142" s="375"/>
      <c r="L142" s="373">
        <v>8500</v>
      </c>
      <c r="M142" s="78"/>
      <c r="N142" s="78"/>
      <c r="O142" s="78"/>
      <c r="P142" s="373">
        <v>8500</v>
      </c>
      <c r="Q142" s="78"/>
      <c r="R142" s="373">
        <v>8500</v>
      </c>
      <c r="S142" s="313"/>
      <c r="T142" s="709">
        <f t="shared" ref="T142:T202" si="44">L142-R142</f>
        <v>0</v>
      </c>
      <c r="U142" s="709"/>
      <c r="V142" s="709">
        <v>1</v>
      </c>
      <c r="W142" s="709"/>
    </row>
    <row r="143" spans="1:23" s="297" customFormat="1" ht="19.899999999999999" customHeight="1">
      <c r="A143" s="527" t="s">
        <v>841</v>
      </c>
      <c r="B143" s="298" t="s">
        <v>616</v>
      </c>
      <c r="C143" s="394"/>
      <c r="D143" s="343"/>
      <c r="E143" s="343"/>
      <c r="F143" s="344"/>
      <c r="G143" s="344"/>
      <c r="H143" s="394"/>
      <c r="I143" s="343"/>
      <c r="J143" s="346">
        <f>J145</f>
        <v>253000</v>
      </c>
      <c r="K143" s="346">
        <f>K145</f>
        <v>0</v>
      </c>
      <c r="L143" s="346">
        <f t="shared" ref="L143:R143" si="45">L145</f>
        <v>253000</v>
      </c>
      <c r="M143" s="346">
        <f t="shared" si="45"/>
        <v>110</v>
      </c>
      <c r="N143" s="346">
        <f t="shared" si="45"/>
        <v>0</v>
      </c>
      <c r="O143" s="346">
        <f t="shared" si="45"/>
        <v>110</v>
      </c>
      <c r="P143" s="346">
        <f t="shared" si="45"/>
        <v>50000</v>
      </c>
      <c r="Q143" s="346">
        <f t="shared" si="45"/>
        <v>0</v>
      </c>
      <c r="R143" s="346">
        <f t="shared" si="45"/>
        <v>50000</v>
      </c>
      <c r="S143" s="344"/>
      <c r="T143" s="709"/>
      <c r="U143" s="709"/>
      <c r="V143" s="709"/>
      <c r="W143" s="709"/>
    </row>
    <row r="144" spans="1:23" s="297" customFormat="1" outlineLevel="1" collapsed="1">
      <c r="A144" s="323"/>
      <c r="B144" s="281" t="s">
        <v>907</v>
      </c>
      <c r="C144" s="393"/>
      <c r="D144" s="324"/>
      <c r="E144" s="324"/>
      <c r="F144" s="339"/>
      <c r="G144" s="339"/>
      <c r="H144" s="393"/>
      <c r="I144" s="324"/>
      <c r="J144" s="325">
        <f>J145</f>
        <v>253000</v>
      </c>
      <c r="K144" s="325">
        <f t="shared" ref="K144:R144" si="46">K145</f>
        <v>0</v>
      </c>
      <c r="L144" s="325">
        <f t="shared" si="46"/>
        <v>253000</v>
      </c>
      <c r="M144" s="325">
        <f t="shared" si="46"/>
        <v>110</v>
      </c>
      <c r="N144" s="325">
        <f t="shared" si="46"/>
        <v>0</v>
      </c>
      <c r="O144" s="325">
        <f t="shared" si="46"/>
        <v>110</v>
      </c>
      <c r="P144" s="325">
        <f t="shared" si="46"/>
        <v>50000</v>
      </c>
      <c r="Q144" s="325">
        <f t="shared" si="46"/>
        <v>0</v>
      </c>
      <c r="R144" s="325">
        <f t="shared" si="46"/>
        <v>50000</v>
      </c>
      <c r="S144" s="387"/>
      <c r="T144" s="709"/>
      <c r="U144" s="709"/>
      <c r="V144" s="709"/>
      <c r="W144" s="709"/>
    </row>
    <row r="145" spans="1:24" s="297" customFormat="1" ht="45" outlineLevel="2">
      <c r="A145" s="254">
        <f>MAX(A$136:$A144)+1</f>
        <v>115</v>
      </c>
      <c r="B145" s="255" t="s">
        <v>617</v>
      </c>
      <c r="C145" s="260" t="s">
        <v>616</v>
      </c>
      <c r="D145" s="293" t="s">
        <v>101</v>
      </c>
      <c r="E145" s="293" t="s">
        <v>101</v>
      </c>
      <c r="F145" s="390" t="s">
        <v>534</v>
      </c>
      <c r="G145" s="337"/>
      <c r="H145" s="494" t="s">
        <v>922</v>
      </c>
      <c r="I145" s="486" t="s">
        <v>183</v>
      </c>
      <c r="J145" s="495">
        <v>253000</v>
      </c>
      <c r="K145" s="294"/>
      <c r="L145" s="495">
        <v>253000</v>
      </c>
      <c r="M145" s="294">
        <v>110</v>
      </c>
      <c r="N145" s="294"/>
      <c r="O145" s="294">
        <v>110</v>
      </c>
      <c r="P145" s="294">
        <f>Q145+R145</f>
        <v>50000</v>
      </c>
      <c r="Q145" s="294"/>
      <c r="R145" s="294">
        <v>50000</v>
      </c>
      <c r="S145" s="489"/>
      <c r="T145" s="713">
        <f t="shared" si="44"/>
        <v>203000</v>
      </c>
      <c r="U145" s="713">
        <v>1</v>
      </c>
      <c r="V145" s="709"/>
      <c r="W145" s="709"/>
      <c r="X145" s="489"/>
    </row>
    <row r="146" spans="1:24" s="297" customFormat="1" ht="19.899999999999999" customHeight="1">
      <c r="A146" s="527" t="s">
        <v>842</v>
      </c>
      <c r="B146" s="298" t="s">
        <v>618</v>
      </c>
      <c r="C146" s="394"/>
      <c r="D146" s="343"/>
      <c r="E146" s="343"/>
      <c r="F146" s="344"/>
      <c r="G146" s="344"/>
      <c r="H146" s="394"/>
      <c r="I146" s="343"/>
      <c r="J146" s="346">
        <f>J148</f>
        <v>10000</v>
      </c>
      <c r="K146" s="346">
        <f t="shared" ref="K146:R146" si="47">K148</f>
        <v>0</v>
      </c>
      <c r="L146" s="346">
        <f t="shared" si="47"/>
        <v>10000</v>
      </c>
      <c r="M146" s="346">
        <f t="shared" si="47"/>
        <v>0</v>
      </c>
      <c r="N146" s="346">
        <f t="shared" si="47"/>
        <v>0</v>
      </c>
      <c r="O146" s="346">
        <f t="shared" si="47"/>
        <v>0</v>
      </c>
      <c r="P146" s="346">
        <f t="shared" si="47"/>
        <v>10000</v>
      </c>
      <c r="Q146" s="346">
        <f t="shared" si="47"/>
        <v>0</v>
      </c>
      <c r="R146" s="346">
        <f t="shared" si="47"/>
        <v>10000</v>
      </c>
      <c r="S146" s="344"/>
      <c r="T146" s="709"/>
      <c r="U146" s="709"/>
      <c r="V146" s="709"/>
      <c r="W146" s="709"/>
    </row>
    <row r="147" spans="1:24" s="297" customFormat="1" ht="57" customHeight="1" outlineLevel="1" collapsed="1">
      <c r="A147" s="323"/>
      <c r="B147" s="281" t="s">
        <v>885</v>
      </c>
      <c r="C147" s="393"/>
      <c r="D147" s="324"/>
      <c r="E147" s="324"/>
      <c r="F147" s="339"/>
      <c r="G147" s="339"/>
      <c r="H147" s="393"/>
      <c r="I147" s="324"/>
      <c r="J147" s="325">
        <f>J148</f>
        <v>10000</v>
      </c>
      <c r="K147" s="325">
        <f t="shared" ref="K147:R147" si="48">K148</f>
        <v>0</v>
      </c>
      <c r="L147" s="325">
        <f t="shared" si="48"/>
        <v>10000</v>
      </c>
      <c r="M147" s="325">
        <f t="shared" si="48"/>
        <v>0</v>
      </c>
      <c r="N147" s="325">
        <f t="shared" si="48"/>
        <v>0</v>
      </c>
      <c r="O147" s="325">
        <f t="shared" si="48"/>
        <v>0</v>
      </c>
      <c r="P147" s="325">
        <f t="shared" si="48"/>
        <v>10000</v>
      </c>
      <c r="Q147" s="325">
        <f t="shared" si="48"/>
        <v>0</v>
      </c>
      <c r="R147" s="325">
        <f t="shared" si="48"/>
        <v>10000</v>
      </c>
      <c r="S147" s="387"/>
      <c r="T147" s="709"/>
      <c r="U147" s="709"/>
      <c r="V147" s="709"/>
      <c r="W147" s="709"/>
    </row>
    <row r="148" spans="1:24" s="297" customFormat="1" ht="30" outlineLevel="2">
      <c r="A148" s="254">
        <f>MAX(A$136:$A147)+1</f>
        <v>116</v>
      </c>
      <c r="B148" s="255" t="s">
        <v>619</v>
      </c>
      <c r="C148" s="260" t="s">
        <v>618</v>
      </c>
      <c r="D148" s="293" t="s">
        <v>173</v>
      </c>
      <c r="E148" s="293" t="s">
        <v>173</v>
      </c>
      <c r="F148" s="390" t="s">
        <v>209</v>
      </c>
      <c r="G148" s="337"/>
      <c r="H148" s="494" t="s">
        <v>212</v>
      </c>
      <c r="I148" s="486"/>
      <c r="J148" s="495">
        <v>10000</v>
      </c>
      <c r="K148" s="294"/>
      <c r="L148" s="495">
        <v>10000</v>
      </c>
      <c r="M148" s="294"/>
      <c r="N148" s="294"/>
      <c r="O148" s="294"/>
      <c r="P148" s="294">
        <v>10000</v>
      </c>
      <c r="Q148" s="294"/>
      <c r="R148" s="294">
        <v>10000</v>
      </c>
      <c r="S148" s="489"/>
      <c r="T148" s="709">
        <f t="shared" si="44"/>
        <v>0</v>
      </c>
      <c r="U148" s="709"/>
      <c r="V148" s="709">
        <v>1</v>
      </c>
      <c r="W148" s="709"/>
      <c r="X148" s="489"/>
    </row>
    <row r="149" spans="1:24" s="297" customFormat="1" ht="19.899999999999999" customHeight="1">
      <c r="A149" s="527" t="s">
        <v>843</v>
      </c>
      <c r="B149" s="298" t="s">
        <v>184</v>
      </c>
      <c r="C149" s="394"/>
      <c r="D149" s="343"/>
      <c r="E149" s="343"/>
      <c r="F149" s="344"/>
      <c r="G149" s="344"/>
      <c r="H149" s="394"/>
      <c r="I149" s="343"/>
      <c r="J149" s="346">
        <f>J151+J152+J153</f>
        <v>250000</v>
      </c>
      <c r="K149" s="346">
        <f t="shared" ref="K149:R149" si="49">K151+K152+K153</f>
        <v>0</v>
      </c>
      <c r="L149" s="346">
        <f t="shared" si="49"/>
        <v>250000</v>
      </c>
      <c r="M149" s="346">
        <f t="shared" si="49"/>
        <v>0</v>
      </c>
      <c r="N149" s="346">
        <f t="shared" si="49"/>
        <v>0</v>
      </c>
      <c r="O149" s="346">
        <f t="shared" si="49"/>
        <v>0</v>
      </c>
      <c r="P149" s="346">
        <f t="shared" si="49"/>
        <v>250000</v>
      </c>
      <c r="Q149" s="346">
        <f t="shared" si="49"/>
        <v>0</v>
      </c>
      <c r="R149" s="346">
        <f t="shared" si="49"/>
        <v>250000</v>
      </c>
      <c r="S149" s="344"/>
      <c r="T149" s="709"/>
      <c r="U149" s="709"/>
      <c r="V149" s="709"/>
      <c r="W149" s="709"/>
    </row>
    <row r="150" spans="1:24" s="297" customFormat="1" outlineLevel="1" collapsed="1">
      <c r="A150" s="323"/>
      <c r="B150" s="281" t="s">
        <v>902</v>
      </c>
      <c r="C150" s="393"/>
      <c r="D150" s="324"/>
      <c r="E150" s="324"/>
      <c r="F150" s="339"/>
      <c r="G150" s="339"/>
      <c r="H150" s="393"/>
      <c r="I150" s="324"/>
      <c r="J150" s="325">
        <f>SUM(J151:J153)</f>
        <v>250000</v>
      </c>
      <c r="K150" s="325">
        <f t="shared" ref="K150:R150" si="50">SUM(K151:K153)</f>
        <v>0</v>
      </c>
      <c r="L150" s="325">
        <f t="shared" si="50"/>
        <v>250000</v>
      </c>
      <c r="M150" s="325">
        <f t="shared" si="50"/>
        <v>0</v>
      </c>
      <c r="N150" s="325">
        <f t="shared" si="50"/>
        <v>0</v>
      </c>
      <c r="O150" s="325">
        <f t="shared" si="50"/>
        <v>0</v>
      </c>
      <c r="P150" s="325">
        <f t="shared" si="50"/>
        <v>250000</v>
      </c>
      <c r="Q150" s="325">
        <f t="shared" si="50"/>
        <v>0</v>
      </c>
      <c r="R150" s="325">
        <f t="shared" si="50"/>
        <v>250000</v>
      </c>
      <c r="S150" s="387"/>
      <c r="T150" s="709"/>
      <c r="U150" s="709"/>
      <c r="V150" s="709"/>
      <c r="W150" s="709"/>
    </row>
    <row r="151" spans="1:24" ht="45" outlineLevel="2">
      <c r="A151" s="254">
        <f>MAX(A$136:$A150)+1</f>
        <v>117</v>
      </c>
      <c r="B151" s="490" t="s">
        <v>898</v>
      </c>
      <c r="C151" s="562" t="s">
        <v>184</v>
      </c>
      <c r="D151" s="491" t="s">
        <v>101</v>
      </c>
      <c r="E151" s="491" t="s">
        <v>101</v>
      </c>
      <c r="F151" s="565"/>
      <c r="G151" s="337"/>
      <c r="H151" s="263" t="s">
        <v>211</v>
      </c>
      <c r="I151" s="293"/>
      <c r="J151" s="294">
        <v>100000</v>
      </c>
      <c r="K151" s="294"/>
      <c r="L151" s="294">
        <v>100000</v>
      </c>
      <c r="M151" s="294"/>
      <c r="N151" s="294"/>
      <c r="O151" s="294"/>
      <c r="P151" s="294">
        <v>100000</v>
      </c>
      <c r="Q151" s="294"/>
      <c r="R151" s="294">
        <v>100000</v>
      </c>
      <c r="S151" s="486"/>
      <c r="T151" s="709">
        <f t="shared" si="44"/>
        <v>0</v>
      </c>
      <c r="U151" s="709"/>
      <c r="V151" s="709">
        <v>1</v>
      </c>
      <c r="W151" s="709"/>
    </row>
    <row r="152" spans="1:24" ht="45" outlineLevel="2">
      <c r="A152" s="254">
        <f>MAX(A$136:$A151)+1</f>
        <v>118</v>
      </c>
      <c r="B152" s="492" t="s">
        <v>899</v>
      </c>
      <c r="C152" s="562" t="s">
        <v>184</v>
      </c>
      <c r="D152" s="491" t="s">
        <v>101</v>
      </c>
      <c r="E152" s="491" t="s">
        <v>173</v>
      </c>
      <c r="F152" s="565"/>
      <c r="G152" s="337"/>
      <c r="H152" s="263" t="s">
        <v>212</v>
      </c>
      <c r="I152" s="293"/>
      <c r="J152" s="294">
        <v>80000</v>
      </c>
      <c r="K152" s="294"/>
      <c r="L152" s="294">
        <v>80000</v>
      </c>
      <c r="M152" s="294"/>
      <c r="N152" s="294"/>
      <c r="O152" s="294"/>
      <c r="P152" s="294">
        <v>80000</v>
      </c>
      <c r="Q152" s="294"/>
      <c r="R152" s="294">
        <v>80000</v>
      </c>
      <c r="S152" s="486"/>
      <c r="T152" s="709">
        <f t="shared" si="44"/>
        <v>0</v>
      </c>
      <c r="U152" s="709"/>
      <c r="V152" s="709">
        <v>1</v>
      </c>
      <c r="W152" s="709"/>
    </row>
    <row r="153" spans="1:24" ht="75" outlineLevel="2">
      <c r="A153" s="254">
        <f>MAX(A$136:$A152)+1</f>
        <v>119</v>
      </c>
      <c r="B153" s="492" t="s">
        <v>900</v>
      </c>
      <c r="C153" s="562" t="s">
        <v>184</v>
      </c>
      <c r="D153" s="491" t="s">
        <v>101</v>
      </c>
      <c r="E153" s="491" t="s">
        <v>173</v>
      </c>
      <c r="F153" s="565"/>
      <c r="G153" s="337"/>
      <c r="H153" s="263" t="s">
        <v>212</v>
      </c>
      <c r="I153" s="293"/>
      <c r="J153" s="294">
        <v>70000</v>
      </c>
      <c r="K153" s="294"/>
      <c r="L153" s="294">
        <v>70000</v>
      </c>
      <c r="M153" s="294"/>
      <c r="N153" s="294"/>
      <c r="O153" s="294"/>
      <c r="P153" s="294">
        <v>70000</v>
      </c>
      <c r="Q153" s="294"/>
      <c r="R153" s="294">
        <v>70000</v>
      </c>
      <c r="S153" s="486"/>
      <c r="T153" s="709">
        <f t="shared" si="44"/>
        <v>0</v>
      </c>
      <c r="U153" s="709"/>
      <c r="V153" s="709">
        <v>1</v>
      </c>
      <c r="W153" s="709"/>
    </row>
    <row r="154" spans="1:24" s="297" customFormat="1" ht="28.5">
      <c r="A154" s="527" t="s">
        <v>844</v>
      </c>
      <c r="B154" s="298" t="s">
        <v>623</v>
      </c>
      <c r="C154" s="394"/>
      <c r="D154" s="343"/>
      <c r="E154" s="343"/>
      <c r="F154" s="344"/>
      <c r="G154" s="344"/>
      <c r="H154" s="394"/>
      <c r="I154" s="343"/>
      <c r="J154" s="346">
        <f>J156</f>
        <v>130000</v>
      </c>
      <c r="K154" s="346">
        <f t="shared" ref="K154:R154" si="51">K156</f>
        <v>100000</v>
      </c>
      <c r="L154" s="346">
        <f t="shared" si="51"/>
        <v>30000</v>
      </c>
      <c r="M154" s="346">
        <f t="shared" si="51"/>
        <v>0</v>
      </c>
      <c r="N154" s="346">
        <f t="shared" si="51"/>
        <v>0</v>
      </c>
      <c r="O154" s="346">
        <f t="shared" si="51"/>
        <v>0</v>
      </c>
      <c r="P154" s="346">
        <f t="shared" si="51"/>
        <v>30000</v>
      </c>
      <c r="Q154" s="346">
        <f t="shared" si="51"/>
        <v>0</v>
      </c>
      <c r="R154" s="346">
        <f t="shared" si="51"/>
        <v>30000</v>
      </c>
      <c r="S154" s="344"/>
      <c r="T154" s="709"/>
      <c r="U154" s="709"/>
      <c r="V154" s="709"/>
      <c r="W154" s="709"/>
    </row>
    <row r="155" spans="1:24" s="297" customFormat="1" outlineLevel="1" collapsed="1">
      <c r="A155" s="323"/>
      <c r="B155" s="281" t="s">
        <v>908</v>
      </c>
      <c r="C155" s="393"/>
      <c r="D155" s="324"/>
      <c r="E155" s="324"/>
      <c r="F155" s="339"/>
      <c r="G155" s="339"/>
      <c r="H155" s="393"/>
      <c r="I155" s="324"/>
      <c r="J155" s="325">
        <f>J156</f>
        <v>130000</v>
      </c>
      <c r="K155" s="325">
        <f t="shared" ref="K155:R155" si="52">K156</f>
        <v>100000</v>
      </c>
      <c r="L155" s="325">
        <f t="shared" si="52"/>
        <v>30000</v>
      </c>
      <c r="M155" s="325">
        <f t="shared" si="52"/>
        <v>0</v>
      </c>
      <c r="N155" s="325">
        <f t="shared" si="52"/>
        <v>0</v>
      </c>
      <c r="O155" s="325">
        <f t="shared" si="52"/>
        <v>0</v>
      </c>
      <c r="P155" s="325">
        <f t="shared" si="52"/>
        <v>30000</v>
      </c>
      <c r="Q155" s="325">
        <f t="shared" si="52"/>
        <v>0</v>
      </c>
      <c r="R155" s="325">
        <f t="shared" si="52"/>
        <v>30000</v>
      </c>
      <c r="S155" s="387"/>
      <c r="T155" s="709"/>
      <c r="U155" s="709"/>
      <c r="V155" s="709"/>
      <c r="W155" s="709"/>
    </row>
    <row r="156" spans="1:24" ht="60" outlineLevel="2">
      <c r="A156" s="254">
        <f>MAX(A$136:$A155)+1</f>
        <v>120</v>
      </c>
      <c r="B156" s="255" t="s">
        <v>901</v>
      </c>
      <c r="C156" s="263" t="s">
        <v>625</v>
      </c>
      <c r="D156" s="293" t="s">
        <v>173</v>
      </c>
      <c r="E156" s="293" t="s">
        <v>173</v>
      </c>
      <c r="F156" s="337" t="s">
        <v>626</v>
      </c>
      <c r="G156" s="337" t="s">
        <v>627</v>
      </c>
      <c r="H156" s="263" t="s">
        <v>211</v>
      </c>
      <c r="I156" s="293"/>
      <c r="J156" s="488">
        <v>130000</v>
      </c>
      <c r="K156" s="488">
        <v>100000</v>
      </c>
      <c r="L156" s="488">
        <v>30000</v>
      </c>
      <c r="M156" s="488"/>
      <c r="N156" s="488"/>
      <c r="O156" s="488"/>
      <c r="P156" s="488">
        <v>30000</v>
      </c>
      <c r="Q156" s="488"/>
      <c r="R156" s="488">
        <v>30000</v>
      </c>
      <c r="S156" s="486" t="s">
        <v>628</v>
      </c>
      <c r="T156" s="709">
        <f t="shared" si="44"/>
        <v>0</v>
      </c>
      <c r="U156" s="709"/>
      <c r="V156" s="709">
        <v>1</v>
      </c>
      <c r="W156" s="709"/>
    </row>
    <row r="157" spans="1:24" s="297" customFormat="1" ht="28.5">
      <c r="A157" s="527" t="s">
        <v>845</v>
      </c>
      <c r="B157" s="298" t="s">
        <v>915</v>
      </c>
      <c r="C157" s="394"/>
      <c r="D157" s="343"/>
      <c r="E157" s="343"/>
      <c r="F157" s="344"/>
      <c r="G157" s="344"/>
      <c r="H157" s="394"/>
      <c r="I157" s="343"/>
      <c r="J157" s="346">
        <f t="shared" ref="J157:R157" si="53">SUM(J159:J163)</f>
        <v>116000</v>
      </c>
      <c r="K157" s="346">
        <f t="shared" si="53"/>
        <v>0</v>
      </c>
      <c r="L157" s="346">
        <f t="shared" si="53"/>
        <v>116000</v>
      </c>
      <c r="M157" s="346">
        <f t="shared" si="53"/>
        <v>0</v>
      </c>
      <c r="N157" s="346">
        <f t="shared" si="53"/>
        <v>0</v>
      </c>
      <c r="O157" s="346">
        <f t="shared" si="53"/>
        <v>0</v>
      </c>
      <c r="P157" s="346">
        <f t="shared" si="53"/>
        <v>116000</v>
      </c>
      <c r="Q157" s="346">
        <f t="shared" si="53"/>
        <v>0</v>
      </c>
      <c r="R157" s="346">
        <f t="shared" si="53"/>
        <v>116000</v>
      </c>
      <c r="S157" s="344"/>
      <c r="T157" s="709"/>
      <c r="U157" s="709"/>
      <c r="V157" s="709"/>
      <c r="W157" s="709"/>
    </row>
    <row r="158" spans="1:24" s="297" customFormat="1" ht="28.5" outlineLevel="1" collapsed="1">
      <c r="A158" s="323"/>
      <c r="B158" s="281" t="s">
        <v>914</v>
      </c>
      <c r="C158" s="393"/>
      <c r="D158" s="324"/>
      <c r="E158" s="324"/>
      <c r="F158" s="339"/>
      <c r="G158" s="339"/>
      <c r="H158" s="393"/>
      <c r="I158" s="324"/>
      <c r="J158" s="325">
        <f t="shared" ref="J158:R158" si="54">SUM(J159:J163)</f>
        <v>116000</v>
      </c>
      <c r="K158" s="325">
        <f t="shared" si="54"/>
        <v>0</v>
      </c>
      <c r="L158" s="325">
        <f t="shared" si="54"/>
        <v>116000</v>
      </c>
      <c r="M158" s="325">
        <f t="shared" si="54"/>
        <v>0</v>
      </c>
      <c r="N158" s="325">
        <f t="shared" si="54"/>
        <v>0</v>
      </c>
      <c r="O158" s="325">
        <f t="shared" si="54"/>
        <v>0</v>
      </c>
      <c r="P158" s="325">
        <f t="shared" si="54"/>
        <v>116000</v>
      </c>
      <c r="Q158" s="325">
        <f t="shared" si="54"/>
        <v>0</v>
      </c>
      <c r="R158" s="325">
        <f t="shared" si="54"/>
        <v>116000</v>
      </c>
      <c r="S158" s="387"/>
      <c r="T158" s="709"/>
      <c r="U158" s="709"/>
      <c r="V158" s="709"/>
      <c r="W158" s="709"/>
    </row>
    <row r="159" spans="1:24" s="297" customFormat="1" ht="45" outlineLevel="2">
      <c r="A159" s="254">
        <f>MAX(A$136:$A158)+1</f>
        <v>121</v>
      </c>
      <c r="B159" s="279" t="s">
        <v>909</v>
      </c>
      <c r="C159" s="263" t="s">
        <v>915</v>
      </c>
      <c r="D159" s="293" t="s">
        <v>173</v>
      </c>
      <c r="E159" s="293" t="s">
        <v>173</v>
      </c>
      <c r="F159" s="337" t="s">
        <v>556</v>
      </c>
      <c r="G159" s="337"/>
      <c r="H159" s="263" t="s">
        <v>212</v>
      </c>
      <c r="I159" s="293"/>
      <c r="J159" s="516">
        <v>20000</v>
      </c>
      <c r="K159" s="294"/>
      <c r="L159" s="516">
        <v>20000</v>
      </c>
      <c r="M159" s="294"/>
      <c r="N159" s="294"/>
      <c r="O159" s="294"/>
      <c r="P159" s="516">
        <v>20000</v>
      </c>
      <c r="Q159" s="294"/>
      <c r="R159" s="516">
        <v>20000</v>
      </c>
      <c r="S159" s="486"/>
      <c r="T159" s="709">
        <f t="shared" si="44"/>
        <v>0</v>
      </c>
      <c r="U159" s="709"/>
      <c r="V159" s="709">
        <v>1</v>
      </c>
      <c r="W159" s="709"/>
    </row>
    <row r="160" spans="1:24" s="297" customFormat="1" ht="60" outlineLevel="2">
      <c r="A160" s="254">
        <f>MAX(A$136:$A159)+1</f>
        <v>122</v>
      </c>
      <c r="B160" s="279" t="s">
        <v>910</v>
      </c>
      <c r="C160" s="263" t="s">
        <v>915</v>
      </c>
      <c r="D160" s="293" t="s">
        <v>173</v>
      </c>
      <c r="E160" s="293" t="s">
        <v>173</v>
      </c>
      <c r="F160" s="337" t="s">
        <v>556</v>
      </c>
      <c r="G160" s="337"/>
      <c r="H160" s="263" t="s">
        <v>212</v>
      </c>
      <c r="I160" s="293"/>
      <c r="J160" s="516">
        <v>16000</v>
      </c>
      <c r="K160" s="294"/>
      <c r="L160" s="516">
        <v>16000</v>
      </c>
      <c r="M160" s="294"/>
      <c r="N160" s="294"/>
      <c r="O160" s="294"/>
      <c r="P160" s="516">
        <v>16000</v>
      </c>
      <c r="Q160" s="294"/>
      <c r="R160" s="516">
        <v>16000</v>
      </c>
      <c r="S160" s="486"/>
      <c r="T160" s="709">
        <f t="shared" si="44"/>
        <v>0</v>
      </c>
      <c r="U160" s="709"/>
      <c r="V160" s="709">
        <v>1</v>
      </c>
      <c r="W160" s="709"/>
    </row>
    <row r="161" spans="1:23" s="297" customFormat="1" ht="40.5" customHeight="1" outlineLevel="2">
      <c r="A161" s="254">
        <f>MAX(A$136:$A160)+1</f>
        <v>123</v>
      </c>
      <c r="B161" s="279" t="s">
        <v>911</v>
      </c>
      <c r="C161" s="263" t="s">
        <v>915</v>
      </c>
      <c r="D161" s="293" t="s">
        <v>173</v>
      </c>
      <c r="E161" s="293" t="s">
        <v>173</v>
      </c>
      <c r="F161" s="337" t="s">
        <v>556</v>
      </c>
      <c r="G161" s="337"/>
      <c r="H161" s="263" t="s">
        <v>428</v>
      </c>
      <c r="I161" s="293"/>
      <c r="J161" s="516">
        <v>32000</v>
      </c>
      <c r="K161" s="294"/>
      <c r="L161" s="516">
        <v>32000</v>
      </c>
      <c r="M161" s="294"/>
      <c r="N161" s="294"/>
      <c r="O161" s="294"/>
      <c r="P161" s="516">
        <v>32000</v>
      </c>
      <c r="Q161" s="294"/>
      <c r="R161" s="516">
        <v>32000</v>
      </c>
      <c r="S161" s="486"/>
      <c r="T161" s="709">
        <f t="shared" si="44"/>
        <v>0</v>
      </c>
      <c r="U161" s="709"/>
      <c r="V161" s="709">
        <v>1</v>
      </c>
      <c r="W161" s="709"/>
    </row>
    <row r="162" spans="1:23" s="297" customFormat="1" ht="43.5" customHeight="1" outlineLevel="2">
      <c r="A162" s="254">
        <f>MAX(A$136:$A161)+1</f>
        <v>124</v>
      </c>
      <c r="B162" s="279" t="s">
        <v>912</v>
      </c>
      <c r="C162" s="263" t="s">
        <v>915</v>
      </c>
      <c r="D162" s="293" t="s">
        <v>173</v>
      </c>
      <c r="E162" s="293" t="s">
        <v>173</v>
      </c>
      <c r="F162" s="337" t="s">
        <v>556</v>
      </c>
      <c r="G162" s="337"/>
      <c r="H162" s="263" t="s">
        <v>428</v>
      </c>
      <c r="I162" s="293"/>
      <c r="J162" s="516">
        <v>20000</v>
      </c>
      <c r="K162" s="294"/>
      <c r="L162" s="516">
        <v>20000</v>
      </c>
      <c r="M162" s="294"/>
      <c r="N162" s="294"/>
      <c r="O162" s="294"/>
      <c r="P162" s="516">
        <v>20000</v>
      </c>
      <c r="Q162" s="294"/>
      <c r="R162" s="516">
        <v>20000</v>
      </c>
      <c r="S162" s="486"/>
      <c r="T162" s="709">
        <f t="shared" si="44"/>
        <v>0</v>
      </c>
      <c r="U162" s="709"/>
      <c r="V162" s="709">
        <v>1</v>
      </c>
      <c r="W162" s="709"/>
    </row>
    <row r="163" spans="1:23" s="297" customFormat="1" ht="39.75" customHeight="1" outlineLevel="2">
      <c r="A163" s="254">
        <f>MAX(A$136:$A162)+1</f>
        <v>125</v>
      </c>
      <c r="B163" s="279" t="s">
        <v>913</v>
      </c>
      <c r="C163" s="263" t="s">
        <v>915</v>
      </c>
      <c r="D163" s="293" t="s">
        <v>173</v>
      </c>
      <c r="E163" s="293" t="s">
        <v>173</v>
      </c>
      <c r="F163" s="337" t="s">
        <v>556</v>
      </c>
      <c r="G163" s="337"/>
      <c r="H163" s="263" t="s">
        <v>428</v>
      </c>
      <c r="I163" s="293"/>
      <c r="J163" s="516">
        <v>28000</v>
      </c>
      <c r="K163" s="294"/>
      <c r="L163" s="516">
        <v>28000</v>
      </c>
      <c r="M163" s="294"/>
      <c r="N163" s="294"/>
      <c r="O163" s="294"/>
      <c r="P163" s="516">
        <v>28000</v>
      </c>
      <c r="Q163" s="294"/>
      <c r="R163" s="516">
        <v>28000</v>
      </c>
      <c r="S163" s="486"/>
      <c r="T163" s="709">
        <f t="shared" si="44"/>
        <v>0</v>
      </c>
      <c r="U163" s="709"/>
      <c r="V163" s="709">
        <v>1</v>
      </c>
      <c r="W163" s="709"/>
    </row>
    <row r="164" spans="1:23" s="297" customFormat="1" ht="18.75" customHeight="1">
      <c r="A164" s="527" t="s">
        <v>846</v>
      </c>
      <c r="B164" s="298" t="s">
        <v>640</v>
      </c>
      <c r="C164" s="394"/>
      <c r="D164" s="343"/>
      <c r="E164" s="343"/>
      <c r="F164" s="344"/>
      <c r="G164" s="344"/>
      <c r="H164" s="394"/>
      <c r="I164" s="343"/>
      <c r="J164" s="346">
        <f>J166</f>
        <v>30000</v>
      </c>
      <c r="K164" s="346">
        <f t="shared" ref="K164:R164" si="55">K166</f>
        <v>0</v>
      </c>
      <c r="L164" s="346">
        <f t="shared" si="55"/>
        <v>30000</v>
      </c>
      <c r="M164" s="346">
        <f t="shared" si="55"/>
        <v>0</v>
      </c>
      <c r="N164" s="346">
        <f t="shared" si="55"/>
        <v>0</v>
      </c>
      <c r="O164" s="346">
        <f t="shared" si="55"/>
        <v>0</v>
      </c>
      <c r="P164" s="346">
        <f t="shared" si="55"/>
        <v>30000</v>
      </c>
      <c r="Q164" s="346">
        <f t="shared" si="55"/>
        <v>0</v>
      </c>
      <c r="R164" s="346">
        <f t="shared" si="55"/>
        <v>30000</v>
      </c>
      <c r="S164" s="344"/>
      <c r="T164" s="709"/>
      <c r="U164" s="709"/>
      <c r="V164" s="709"/>
      <c r="W164" s="709"/>
    </row>
    <row r="165" spans="1:23" s="297" customFormat="1" outlineLevel="1" collapsed="1">
      <c r="A165" s="323"/>
      <c r="B165" s="281" t="s">
        <v>902</v>
      </c>
      <c r="C165" s="393"/>
      <c r="D165" s="324"/>
      <c r="E165" s="324"/>
      <c r="F165" s="339"/>
      <c r="G165" s="339"/>
      <c r="H165" s="393"/>
      <c r="I165" s="324"/>
      <c r="J165" s="325">
        <f>J166</f>
        <v>30000</v>
      </c>
      <c r="K165" s="325">
        <f t="shared" ref="K165:R165" si="56">K166</f>
        <v>0</v>
      </c>
      <c r="L165" s="325">
        <f t="shared" si="56"/>
        <v>30000</v>
      </c>
      <c r="M165" s="325">
        <f t="shared" si="56"/>
        <v>0</v>
      </c>
      <c r="N165" s="325">
        <f t="shared" si="56"/>
        <v>0</v>
      </c>
      <c r="O165" s="325">
        <f t="shared" si="56"/>
        <v>0</v>
      </c>
      <c r="P165" s="325">
        <f t="shared" si="56"/>
        <v>30000</v>
      </c>
      <c r="Q165" s="325">
        <f t="shared" si="56"/>
        <v>0</v>
      </c>
      <c r="R165" s="325">
        <f t="shared" si="56"/>
        <v>30000</v>
      </c>
      <c r="S165" s="387"/>
      <c r="T165" s="709"/>
      <c r="U165" s="709"/>
      <c r="V165" s="709"/>
      <c r="W165" s="709"/>
    </row>
    <row r="166" spans="1:23" ht="105" outlineLevel="2">
      <c r="A166" s="254">
        <f>MAX(A$136:$A165)+1</f>
        <v>126</v>
      </c>
      <c r="B166" s="255" t="s">
        <v>641</v>
      </c>
      <c r="C166" s="263" t="s">
        <v>640</v>
      </c>
      <c r="D166" s="293" t="s">
        <v>173</v>
      </c>
      <c r="E166" s="293" t="s">
        <v>173</v>
      </c>
      <c r="F166" s="337"/>
      <c r="G166" s="337"/>
      <c r="H166" s="263" t="s">
        <v>212</v>
      </c>
      <c r="I166" s="293"/>
      <c r="J166" s="294">
        <v>30000</v>
      </c>
      <c r="K166" s="294"/>
      <c r="L166" s="294">
        <v>30000</v>
      </c>
      <c r="M166" s="294"/>
      <c r="N166" s="294"/>
      <c r="O166" s="294"/>
      <c r="P166" s="294">
        <v>30000</v>
      </c>
      <c r="Q166" s="294"/>
      <c r="R166" s="294">
        <v>30000</v>
      </c>
      <c r="S166" s="293" t="s">
        <v>642</v>
      </c>
      <c r="T166" s="709">
        <f t="shared" si="44"/>
        <v>0</v>
      </c>
      <c r="U166" s="709"/>
      <c r="V166" s="709">
        <v>1</v>
      </c>
      <c r="W166" s="709"/>
    </row>
    <row r="167" spans="1:23" s="297" customFormat="1" ht="18.75" customHeight="1">
      <c r="A167" s="527" t="s">
        <v>847</v>
      </c>
      <c r="B167" s="298" t="s">
        <v>643</v>
      </c>
      <c r="C167" s="394"/>
      <c r="D167" s="343"/>
      <c r="E167" s="343"/>
      <c r="F167" s="344"/>
      <c r="G167" s="344"/>
      <c r="H167" s="394"/>
      <c r="I167" s="343"/>
      <c r="J167" s="346">
        <f>SUM(J169:J170)</f>
        <v>29800</v>
      </c>
      <c r="K167" s="346">
        <f t="shared" ref="K167:R167" si="57">SUM(K169:K170)</f>
        <v>0</v>
      </c>
      <c r="L167" s="346">
        <f t="shared" si="57"/>
        <v>29800</v>
      </c>
      <c r="M167" s="346">
        <f t="shared" si="57"/>
        <v>0</v>
      </c>
      <c r="N167" s="346">
        <f t="shared" si="57"/>
        <v>0</v>
      </c>
      <c r="O167" s="346">
        <f t="shared" si="57"/>
        <v>0</v>
      </c>
      <c r="P167" s="346">
        <f t="shared" si="57"/>
        <v>29800</v>
      </c>
      <c r="Q167" s="346">
        <f t="shared" si="57"/>
        <v>0</v>
      </c>
      <c r="R167" s="346">
        <f t="shared" si="57"/>
        <v>29800</v>
      </c>
      <c r="S167" s="344"/>
      <c r="T167" s="709"/>
      <c r="U167" s="709"/>
      <c r="V167" s="709"/>
      <c r="W167" s="709"/>
    </row>
    <row r="168" spans="1:23" s="297" customFormat="1" outlineLevel="1" collapsed="1">
      <c r="A168" s="323"/>
      <c r="B168" s="281" t="s">
        <v>918</v>
      </c>
      <c r="C168" s="393"/>
      <c r="D168" s="324"/>
      <c r="E168" s="324"/>
      <c r="F168" s="339"/>
      <c r="G168" s="339"/>
      <c r="H168" s="393"/>
      <c r="I168" s="324"/>
      <c r="J168" s="325">
        <f>SUM(J169:J170)</f>
        <v>29800</v>
      </c>
      <c r="K168" s="325">
        <f t="shared" ref="K168:R168" si="58">SUM(K169:K170)</f>
        <v>0</v>
      </c>
      <c r="L168" s="325">
        <f t="shared" si="58"/>
        <v>29800</v>
      </c>
      <c r="M168" s="325">
        <f t="shared" si="58"/>
        <v>0</v>
      </c>
      <c r="N168" s="325">
        <f t="shared" si="58"/>
        <v>0</v>
      </c>
      <c r="O168" s="325">
        <f t="shared" si="58"/>
        <v>0</v>
      </c>
      <c r="P168" s="325">
        <f t="shared" si="58"/>
        <v>29800</v>
      </c>
      <c r="Q168" s="325">
        <f t="shared" si="58"/>
        <v>0</v>
      </c>
      <c r="R168" s="325">
        <f t="shared" si="58"/>
        <v>29800</v>
      </c>
      <c r="S168" s="387"/>
      <c r="T168" s="709"/>
      <c r="U168" s="709"/>
      <c r="V168" s="709"/>
      <c r="W168" s="709"/>
    </row>
    <row r="169" spans="1:23" s="297" customFormat="1" ht="76.5" outlineLevel="2">
      <c r="A169" s="254">
        <f>MAX(A$136:$A168)+1</f>
        <v>127</v>
      </c>
      <c r="B169" s="279" t="s">
        <v>917</v>
      </c>
      <c r="C169" s="263" t="s">
        <v>643</v>
      </c>
      <c r="D169" s="293" t="s">
        <v>173</v>
      </c>
      <c r="E169" s="293" t="s">
        <v>173</v>
      </c>
      <c r="F169" s="337"/>
      <c r="G169" s="468" t="s">
        <v>919</v>
      </c>
      <c r="H169" s="282" t="s">
        <v>330</v>
      </c>
      <c r="I169" s="293"/>
      <c r="J169" s="294">
        <v>14900</v>
      </c>
      <c r="K169" s="294"/>
      <c r="L169" s="294">
        <v>14900</v>
      </c>
      <c r="M169" s="294"/>
      <c r="N169" s="294"/>
      <c r="O169" s="294"/>
      <c r="P169" s="294">
        <v>14900</v>
      </c>
      <c r="Q169" s="294"/>
      <c r="R169" s="294">
        <v>14900</v>
      </c>
      <c r="S169" s="710" t="s">
        <v>921</v>
      </c>
      <c r="T169" s="709">
        <f t="shared" si="44"/>
        <v>0</v>
      </c>
      <c r="U169" s="709"/>
      <c r="V169" s="709">
        <v>1</v>
      </c>
      <c r="W169" s="709"/>
    </row>
    <row r="170" spans="1:23" s="297" customFormat="1" ht="93" customHeight="1" outlineLevel="2">
      <c r="A170" s="254">
        <f>MAX(A$136:$A169)+1</f>
        <v>128</v>
      </c>
      <c r="B170" s="279" t="s">
        <v>916</v>
      </c>
      <c r="C170" s="263" t="s">
        <v>643</v>
      </c>
      <c r="D170" s="293" t="s">
        <v>173</v>
      </c>
      <c r="E170" s="293" t="s">
        <v>173</v>
      </c>
      <c r="F170" s="337"/>
      <c r="G170" s="337" t="s">
        <v>920</v>
      </c>
      <c r="H170" s="263" t="s">
        <v>330</v>
      </c>
      <c r="I170" s="293"/>
      <c r="J170" s="516">
        <v>14900</v>
      </c>
      <c r="K170" s="294"/>
      <c r="L170" s="516">
        <v>14900</v>
      </c>
      <c r="M170" s="294"/>
      <c r="N170" s="294"/>
      <c r="O170" s="294"/>
      <c r="P170" s="516">
        <v>14900</v>
      </c>
      <c r="Q170" s="294"/>
      <c r="R170" s="516">
        <v>14900</v>
      </c>
      <c r="S170" s="486"/>
      <c r="T170" s="709">
        <f t="shared" si="44"/>
        <v>0</v>
      </c>
      <c r="U170" s="709"/>
      <c r="V170" s="709">
        <v>1</v>
      </c>
      <c r="W170" s="709"/>
    </row>
    <row r="171" spans="1:23" s="297" customFormat="1" ht="18.75" customHeight="1">
      <c r="A171" s="527" t="s">
        <v>848</v>
      </c>
      <c r="B171" s="298" t="s">
        <v>649</v>
      </c>
      <c r="C171" s="394"/>
      <c r="D171" s="343"/>
      <c r="E171" s="343"/>
      <c r="F171" s="344"/>
      <c r="G171" s="344"/>
      <c r="H171" s="394"/>
      <c r="I171" s="343"/>
      <c r="J171" s="346">
        <f t="shared" ref="J171:R171" si="59">SUM(J173:J173)</f>
        <v>20000</v>
      </c>
      <c r="K171" s="346">
        <f t="shared" si="59"/>
        <v>0</v>
      </c>
      <c r="L171" s="346">
        <f t="shared" si="59"/>
        <v>20000</v>
      </c>
      <c r="M171" s="346">
        <f t="shared" si="59"/>
        <v>0</v>
      </c>
      <c r="N171" s="346">
        <f t="shared" si="59"/>
        <v>0</v>
      </c>
      <c r="O171" s="346">
        <f t="shared" si="59"/>
        <v>0</v>
      </c>
      <c r="P171" s="346">
        <f t="shared" si="59"/>
        <v>20000</v>
      </c>
      <c r="Q171" s="346">
        <f t="shared" si="59"/>
        <v>0</v>
      </c>
      <c r="R171" s="346">
        <f t="shared" si="59"/>
        <v>20000</v>
      </c>
      <c r="S171" s="344"/>
      <c r="T171" s="709"/>
      <c r="U171" s="709"/>
      <c r="V171" s="709"/>
      <c r="W171" s="709"/>
    </row>
    <row r="172" spans="1:23" s="297" customFormat="1" outlineLevel="1" collapsed="1">
      <c r="A172" s="323"/>
      <c r="B172" s="281" t="s">
        <v>918</v>
      </c>
      <c r="C172" s="393"/>
      <c r="D172" s="324"/>
      <c r="E172" s="324"/>
      <c r="F172" s="339"/>
      <c r="G172" s="339"/>
      <c r="H172" s="393"/>
      <c r="I172" s="324"/>
      <c r="J172" s="325">
        <f t="shared" ref="J172:R172" si="60">SUM(J173:J173)</f>
        <v>20000</v>
      </c>
      <c r="K172" s="325">
        <f t="shared" si="60"/>
        <v>0</v>
      </c>
      <c r="L172" s="325">
        <f t="shared" si="60"/>
        <v>20000</v>
      </c>
      <c r="M172" s="325">
        <f t="shared" si="60"/>
        <v>0</v>
      </c>
      <c r="N172" s="325">
        <f t="shared" si="60"/>
        <v>0</v>
      </c>
      <c r="O172" s="325">
        <f t="shared" si="60"/>
        <v>0</v>
      </c>
      <c r="P172" s="325">
        <f t="shared" si="60"/>
        <v>20000</v>
      </c>
      <c r="Q172" s="325">
        <f t="shared" si="60"/>
        <v>0</v>
      </c>
      <c r="R172" s="325">
        <f t="shared" si="60"/>
        <v>20000</v>
      </c>
      <c r="S172" s="387"/>
      <c r="T172" s="709"/>
      <c r="U172" s="709"/>
      <c r="V172" s="709"/>
      <c r="W172" s="709"/>
    </row>
    <row r="173" spans="1:23" s="297" customFormat="1" ht="64.5" customHeight="1" outlineLevel="2">
      <c r="A173" s="254">
        <f>MAX(A$136:$A172)+1</f>
        <v>129</v>
      </c>
      <c r="B173" s="279" t="s">
        <v>657</v>
      </c>
      <c r="C173" s="263" t="s">
        <v>649</v>
      </c>
      <c r="D173" s="293" t="s">
        <v>173</v>
      </c>
      <c r="E173" s="293" t="s">
        <v>173</v>
      </c>
      <c r="F173" s="337"/>
      <c r="G173" s="337"/>
      <c r="H173" s="263" t="s">
        <v>212</v>
      </c>
      <c r="I173" s="293"/>
      <c r="J173" s="516">
        <v>20000</v>
      </c>
      <c r="K173" s="294"/>
      <c r="L173" s="516">
        <v>20000</v>
      </c>
      <c r="M173" s="294"/>
      <c r="N173" s="294"/>
      <c r="O173" s="294"/>
      <c r="P173" s="516">
        <v>20000</v>
      </c>
      <c r="Q173" s="294"/>
      <c r="R173" s="516">
        <v>20000</v>
      </c>
      <c r="S173" s="486"/>
      <c r="T173" s="709">
        <f t="shared" si="44"/>
        <v>0</v>
      </c>
      <c r="U173" s="709"/>
      <c r="V173" s="709">
        <v>1</v>
      </c>
      <c r="W173" s="709"/>
    </row>
    <row r="174" spans="1:23" s="297" customFormat="1" ht="18.75" customHeight="1">
      <c r="A174" s="527" t="s">
        <v>850</v>
      </c>
      <c r="B174" s="298" t="s">
        <v>849</v>
      </c>
      <c r="C174" s="394"/>
      <c r="D174" s="343"/>
      <c r="E174" s="343"/>
      <c r="F174" s="344"/>
      <c r="G174" s="344"/>
      <c r="H174" s="394"/>
      <c r="I174" s="343"/>
      <c r="J174" s="346">
        <f t="shared" ref="J174:R174" si="61">SUM(J176:J179)</f>
        <v>530213.66999999993</v>
      </c>
      <c r="K174" s="346">
        <f t="shared" si="61"/>
        <v>341380.73</v>
      </c>
      <c r="L174" s="346">
        <f t="shared" si="61"/>
        <v>188832.94</v>
      </c>
      <c r="M174" s="346">
        <f t="shared" si="61"/>
        <v>0</v>
      </c>
      <c r="N174" s="346">
        <f t="shared" si="61"/>
        <v>0</v>
      </c>
      <c r="O174" s="346">
        <f t="shared" si="61"/>
        <v>0</v>
      </c>
      <c r="P174" s="346">
        <f t="shared" si="61"/>
        <v>188000</v>
      </c>
      <c r="Q174" s="346">
        <f t="shared" si="61"/>
        <v>0</v>
      </c>
      <c r="R174" s="346">
        <f t="shared" si="61"/>
        <v>188000</v>
      </c>
      <c r="S174" s="344"/>
      <c r="T174" s="709"/>
      <c r="U174" s="709"/>
      <c r="V174" s="709"/>
      <c r="W174" s="709"/>
    </row>
    <row r="175" spans="1:23" s="297" customFormat="1" ht="45.75" customHeight="1" outlineLevel="1" collapsed="1">
      <c r="A175" s="323"/>
      <c r="B175" s="281" t="s">
        <v>344</v>
      </c>
      <c r="C175" s="393"/>
      <c r="D175" s="324"/>
      <c r="E175" s="324"/>
      <c r="F175" s="339"/>
      <c r="G175" s="339"/>
      <c r="H175" s="393"/>
      <c r="I175" s="324"/>
      <c r="J175" s="325">
        <f>SUM(J176:J179)</f>
        <v>530213.66999999993</v>
      </c>
      <c r="K175" s="325">
        <f t="shared" ref="K175:R175" si="62">SUM(K176:K179)</f>
        <v>341380.73</v>
      </c>
      <c r="L175" s="325">
        <f t="shared" si="62"/>
        <v>188832.94</v>
      </c>
      <c r="M175" s="325">
        <f t="shared" si="62"/>
        <v>0</v>
      </c>
      <c r="N175" s="325">
        <f t="shared" si="62"/>
        <v>0</v>
      </c>
      <c r="O175" s="325">
        <f t="shared" si="62"/>
        <v>0</v>
      </c>
      <c r="P175" s="325">
        <f t="shared" si="62"/>
        <v>188000</v>
      </c>
      <c r="Q175" s="325">
        <f t="shared" si="62"/>
        <v>0</v>
      </c>
      <c r="R175" s="325">
        <f t="shared" si="62"/>
        <v>188000</v>
      </c>
      <c r="S175" s="387"/>
      <c r="T175" s="709"/>
      <c r="U175" s="709"/>
      <c r="V175" s="709"/>
      <c r="W175" s="709"/>
    </row>
    <row r="176" spans="1:23" s="297" customFormat="1" ht="46.5" customHeight="1" outlineLevel="2">
      <c r="A176" s="254">
        <f>MAX(A$136:$A175)+1</f>
        <v>130</v>
      </c>
      <c r="B176" s="535" t="s">
        <v>925</v>
      </c>
      <c r="C176" s="263" t="s">
        <v>849</v>
      </c>
      <c r="D176" s="293" t="s">
        <v>173</v>
      </c>
      <c r="E176" s="293" t="s">
        <v>173</v>
      </c>
      <c r="F176" s="337"/>
      <c r="G176" s="337"/>
      <c r="H176" s="293" t="s">
        <v>300</v>
      </c>
      <c r="I176" s="293"/>
      <c r="J176" s="294">
        <v>30000</v>
      </c>
      <c r="K176" s="294"/>
      <c r="L176" s="294">
        <v>30000</v>
      </c>
      <c r="M176" s="294"/>
      <c r="N176" s="294"/>
      <c r="O176" s="294"/>
      <c r="P176" s="294">
        <f>Q176+R176</f>
        <v>30000</v>
      </c>
      <c r="Q176" s="294"/>
      <c r="R176" s="294">
        <v>30000</v>
      </c>
      <c r="S176" s="255" t="s">
        <v>852</v>
      </c>
      <c r="T176" s="709">
        <f t="shared" si="44"/>
        <v>0</v>
      </c>
      <c r="U176" s="709"/>
      <c r="V176" s="709">
        <v>1</v>
      </c>
      <c r="W176" s="709"/>
    </row>
    <row r="177" spans="1:25" s="297" customFormat="1" ht="47.25" customHeight="1" outlineLevel="2">
      <c r="A177" s="254">
        <f>MAX(A$136:$A176)+1</f>
        <v>131</v>
      </c>
      <c r="B177" s="255" t="s">
        <v>926</v>
      </c>
      <c r="C177" s="263" t="s">
        <v>849</v>
      </c>
      <c r="D177" s="349" t="s">
        <v>173</v>
      </c>
      <c r="E177" s="349" t="s">
        <v>173</v>
      </c>
      <c r="F177" s="337" t="s">
        <v>854</v>
      </c>
      <c r="G177" s="337"/>
      <c r="H177" s="293" t="s">
        <v>300</v>
      </c>
      <c r="I177" s="293"/>
      <c r="J177" s="294">
        <v>60000</v>
      </c>
      <c r="K177" s="295"/>
      <c r="L177" s="294">
        <v>60000</v>
      </c>
      <c r="M177" s="295"/>
      <c r="N177" s="295"/>
      <c r="O177" s="295"/>
      <c r="P177" s="294">
        <f>Q177+R177</f>
        <v>60000</v>
      </c>
      <c r="Q177" s="295"/>
      <c r="R177" s="294">
        <v>60000</v>
      </c>
      <c r="S177" s="255" t="s">
        <v>855</v>
      </c>
      <c r="T177" s="709">
        <f t="shared" si="44"/>
        <v>0</v>
      </c>
      <c r="U177" s="709"/>
      <c r="V177" s="709">
        <v>1</v>
      </c>
      <c r="W177" s="709"/>
      <c r="Y177" s="712">
        <v>0.17024201684968895</v>
      </c>
    </row>
    <row r="178" spans="1:25" s="297" customFormat="1" ht="60" outlineLevel="2">
      <c r="A178" s="254">
        <f>MAX(A$136:$A177)+1</f>
        <v>132</v>
      </c>
      <c r="B178" s="255" t="s">
        <v>856</v>
      </c>
      <c r="C178" s="263" t="s">
        <v>849</v>
      </c>
      <c r="D178" s="349" t="s">
        <v>101</v>
      </c>
      <c r="E178" s="349" t="s">
        <v>101</v>
      </c>
      <c r="F178" s="337"/>
      <c r="G178" s="337"/>
      <c r="H178" s="293" t="s">
        <v>300</v>
      </c>
      <c r="I178" s="293"/>
      <c r="J178" s="294">
        <v>310713.67</v>
      </c>
      <c r="K178" s="294">
        <v>242880.73</v>
      </c>
      <c r="L178" s="294">
        <v>67832.94</v>
      </c>
      <c r="M178" s="295"/>
      <c r="N178" s="295"/>
      <c r="O178" s="295"/>
      <c r="P178" s="294">
        <f>Q178+R178</f>
        <v>67000</v>
      </c>
      <c r="Q178" s="294"/>
      <c r="R178" s="294">
        <v>67000</v>
      </c>
      <c r="S178" s="536" t="s">
        <v>859</v>
      </c>
      <c r="T178" s="709">
        <f t="shared" si="44"/>
        <v>832.94000000000233</v>
      </c>
      <c r="U178" s="709"/>
      <c r="V178" s="709">
        <v>1</v>
      </c>
      <c r="W178" s="709"/>
    </row>
    <row r="179" spans="1:25" s="297" customFormat="1" ht="33" customHeight="1" outlineLevel="2">
      <c r="A179" s="254">
        <f>MAX(A$136:$A178)+1</f>
        <v>133</v>
      </c>
      <c r="B179" s="255" t="s">
        <v>858</v>
      </c>
      <c r="C179" s="263" t="s">
        <v>849</v>
      </c>
      <c r="D179" s="349" t="s">
        <v>101</v>
      </c>
      <c r="E179" s="349" t="s">
        <v>101</v>
      </c>
      <c r="F179" s="337"/>
      <c r="G179" s="337"/>
      <c r="H179" s="293" t="s">
        <v>424</v>
      </c>
      <c r="I179" s="293"/>
      <c r="J179" s="294">
        <v>129500</v>
      </c>
      <c r="K179" s="294">
        <v>98500</v>
      </c>
      <c r="L179" s="294">
        <v>31000</v>
      </c>
      <c r="M179" s="295"/>
      <c r="N179" s="295"/>
      <c r="O179" s="295"/>
      <c r="P179" s="294">
        <f>Q179+R179</f>
        <v>31000</v>
      </c>
      <c r="Q179" s="294"/>
      <c r="R179" s="294">
        <v>31000</v>
      </c>
      <c r="S179" s="255" t="s">
        <v>860</v>
      </c>
      <c r="T179" s="709">
        <f t="shared" si="44"/>
        <v>0</v>
      </c>
      <c r="U179" s="709"/>
      <c r="V179" s="709">
        <v>1</v>
      </c>
      <c r="W179" s="709"/>
    </row>
    <row r="180" spans="1:25" s="297" customFormat="1" ht="30.75" customHeight="1">
      <c r="A180" s="537" t="s">
        <v>101</v>
      </c>
      <c r="B180" s="538" t="s">
        <v>661</v>
      </c>
      <c r="C180" s="540"/>
      <c r="D180" s="537"/>
      <c r="E180" s="537"/>
      <c r="F180" s="539"/>
      <c r="G180" s="539"/>
      <c r="H180" s="540"/>
      <c r="I180" s="537"/>
      <c r="J180" s="541">
        <f t="shared" ref="J180:R180" si="63">J181+J183+J188+J193+J197+J200+J203+J208+J214+J223+J229+J234+J238</f>
        <v>4871731.51</v>
      </c>
      <c r="K180" s="541">
        <f t="shared" si="63"/>
        <v>0</v>
      </c>
      <c r="L180" s="541">
        <f t="shared" si="63"/>
        <v>4159968</v>
      </c>
      <c r="M180" s="541">
        <f t="shared" si="63"/>
        <v>0</v>
      </c>
      <c r="N180" s="541">
        <f t="shared" si="63"/>
        <v>0</v>
      </c>
      <c r="O180" s="541">
        <f t="shared" si="63"/>
        <v>0</v>
      </c>
      <c r="P180" s="541">
        <f t="shared" si="63"/>
        <v>3265000</v>
      </c>
      <c r="Q180" s="541">
        <f t="shared" si="63"/>
        <v>0</v>
      </c>
      <c r="R180" s="541">
        <f t="shared" si="63"/>
        <v>3265000</v>
      </c>
      <c r="S180" s="542"/>
      <c r="T180" s="709"/>
      <c r="U180" s="709"/>
      <c r="V180" s="709"/>
      <c r="W180" s="709"/>
    </row>
    <row r="181" spans="1:25" s="297" customFormat="1" ht="18.75" customHeight="1">
      <c r="A181" s="527" t="s">
        <v>835</v>
      </c>
      <c r="B181" s="298" t="s">
        <v>185</v>
      </c>
      <c r="C181" s="394"/>
      <c r="D181" s="343"/>
      <c r="E181" s="343"/>
      <c r="F181" s="344"/>
      <c r="G181" s="344"/>
      <c r="H181" s="394"/>
      <c r="I181" s="343"/>
      <c r="J181" s="346">
        <f t="shared" ref="J181:R181" si="64">SUM(J182:J182)</f>
        <v>350000</v>
      </c>
      <c r="K181" s="346">
        <f t="shared" si="64"/>
        <v>0</v>
      </c>
      <c r="L181" s="346">
        <f t="shared" si="64"/>
        <v>180000</v>
      </c>
      <c r="M181" s="346">
        <f t="shared" si="64"/>
        <v>0</v>
      </c>
      <c r="N181" s="346">
        <f t="shared" si="64"/>
        <v>0</v>
      </c>
      <c r="O181" s="346">
        <f t="shared" si="64"/>
        <v>0</v>
      </c>
      <c r="P181" s="346">
        <f t="shared" si="64"/>
        <v>180000</v>
      </c>
      <c r="Q181" s="346">
        <f t="shared" si="64"/>
        <v>0</v>
      </c>
      <c r="R181" s="346">
        <f t="shared" si="64"/>
        <v>180000</v>
      </c>
      <c r="S181" s="344"/>
      <c r="T181" s="709"/>
      <c r="U181" s="709"/>
      <c r="V181" s="709"/>
      <c r="W181" s="709"/>
    </row>
    <row r="182" spans="1:25" ht="30" outlineLevel="1">
      <c r="A182" s="254">
        <f>MAX(A$136:$A181)+1</f>
        <v>134</v>
      </c>
      <c r="B182" s="255" t="s">
        <v>673</v>
      </c>
      <c r="C182" s="263" t="s">
        <v>185</v>
      </c>
      <c r="D182" s="293" t="s">
        <v>101</v>
      </c>
      <c r="E182" s="293"/>
      <c r="F182" s="337" t="s">
        <v>675</v>
      </c>
      <c r="G182" s="337" t="s">
        <v>676</v>
      </c>
      <c r="H182" s="293" t="s">
        <v>300</v>
      </c>
      <c r="I182" s="293"/>
      <c r="J182" s="294">
        <v>350000</v>
      </c>
      <c r="K182" s="295"/>
      <c r="L182" s="294">
        <v>180000</v>
      </c>
      <c r="M182" s="295"/>
      <c r="N182" s="295"/>
      <c r="O182" s="295"/>
      <c r="P182" s="294">
        <f>Q182+R182</f>
        <v>180000</v>
      </c>
      <c r="Q182" s="294"/>
      <c r="R182" s="294">
        <v>180000</v>
      </c>
      <c r="S182" s="293"/>
      <c r="T182" s="709">
        <f t="shared" si="44"/>
        <v>0</v>
      </c>
      <c r="U182" s="709"/>
      <c r="V182" s="709">
        <v>1</v>
      </c>
      <c r="W182" s="709"/>
    </row>
    <row r="183" spans="1:25" s="297" customFormat="1" ht="18.75" customHeight="1">
      <c r="A183" s="527" t="s">
        <v>836</v>
      </c>
      <c r="B183" s="298" t="s">
        <v>668</v>
      </c>
      <c r="C183" s="394"/>
      <c r="D183" s="343"/>
      <c r="E183" s="343"/>
      <c r="F183" s="344"/>
      <c r="G183" s="344"/>
      <c r="H183" s="394"/>
      <c r="I183" s="343"/>
      <c r="J183" s="346">
        <f t="shared" ref="J183:R183" si="65">SUM(J184:J187)</f>
        <v>200000</v>
      </c>
      <c r="K183" s="346">
        <f t="shared" si="65"/>
        <v>0</v>
      </c>
      <c r="L183" s="346">
        <f t="shared" si="65"/>
        <v>180000</v>
      </c>
      <c r="M183" s="346">
        <f t="shared" si="65"/>
        <v>0</v>
      </c>
      <c r="N183" s="346">
        <f t="shared" si="65"/>
        <v>0</v>
      </c>
      <c r="O183" s="346">
        <f t="shared" si="65"/>
        <v>0</v>
      </c>
      <c r="P183" s="346">
        <f t="shared" si="65"/>
        <v>180000</v>
      </c>
      <c r="Q183" s="346">
        <f t="shared" si="65"/>
        <v>0</v>
      </c>
      <c r="R183" s="346">
        <f t="shared" si="65"/>
        <v>180000</v>
      </c>
      <c r="S183" s="344"/>
      <c r="T183" s="709"/>
      <c r="U183" s="709"/>
      <c r="V183" s="709"/>
      <c r="W183" s="709"/>
    </row>
    <row r="184" spans="1:25" ht="30" outlineLevel="1">
      <c r="A184" s="254">
        <f>MAX(A$136:$A183)+1</f>
        <v>135</v>
      </c>
      <c r="B184" s="255" t="s">
        <v>698</v>
      </c>
      <c r="C184" s="263" t="s">
        <v>674</v>
      </c>
      <c r="D184" s="293" t="s">
        <v>173</v>
      </c>
      <c r="E184" s="293"/>
      <c r="F184" s="386" t="s">
        <v>699</v>
      </c>
      <c r="G184" s="337"/>
      <c r="H184" s="293" t="s">
        <v>700</v>
      </c>
      <c r="I184" s="515"/>
      <c r="J184" s="294">
        <v>70000</v>
      </c>
      <c r="K184" s="294"/>
      <c r="L184" s="294">
        <v>65000</v>
      </c>
      <c r="M184" s="292"/>
      <c r="N184" s="292"/>
      <c r="O184" s="292"/>
      <c r="P184" s="294">
        <f>Q184+R184</f>
        <v>65000</v>
      </c>
      <c r="Q184" s="292"/>
      <c r="R184" s="294">
        <v>65000</v>
      </c>
      <c r="S184" s="321"/>
      <c r="T184" s="709">
        <f t="shared" si="44"/>
        <v>0</v>
      </c>
      <c r="U184" s="709"/>
      <c r="V184" s="709">
        <v>1</v>
      </c>
      <c r="W184" s="709"/>
      <c r="X184" s="579">
        <f>R184/J184</f>
        <v>0.9285714285714286</v>
      </c>
    </row>
    <row r="185" spans="1:25" ht="29.45" customHeight="1" outlineLevel="1">
      <c r="A185" s="254">
        <f>MAX(A$136:$A184)+1</f>
        <v>136</v>
      </c>
      <c r="B185" s="255" t="s">
        <v>701</v>
      </c>
      <c r="C185" s="263" t="s">
        <v>674</v>
      </c>
      <c r="D185" s="293" t="s">
        <v>173</v>
      </c>
      <c r="E185" s="293"/>
      <c r="F185" s="386" t="s">
        <v>699</v>
      </c>
      <c r="G185" s="337"/>
      <c r="H185" s="293" t="s">
        <v>700</v>
      </c>
      <c r="I185" s="515"/>
      <c r="J185" s="294">
        <v>70000</v>
      </c>
      <c r="K185" s="294"/>
      <c r="L185" s="294">
        <v>65000</v>
      </c>
      <c r="M185" s="292"/>
      <c r="N185" s="292"/>
      <c r="O185" s="292"/>
      <c r="P185" s="294">
        <f>Q185+R185</f>
        <v>65000</v>
      </c>
      <c r="Q185" s="292"/>
      <c r="R185" s="294">
        <v>65000</v>
      </c>
      <c r="S185" s="321"/>
      <c r="T185" s="709">
        <f t="shared" si="44"/>
        <v>0</v>
      </c>
      <c r="U185" s="709"/>
      <c r="V185" s="709">
        <v>1</v>
      </c>
      <c r="W185" s="709"/>
      <c r="X185" s="579">
        <f t="shared" ref="X185:X240" si="66">R185/J185</f>
        <v>0.9285714285714286</v>
      </c>
    </row>
    <row r="186" spans="1:25" ht="30" outlineLevel="1">
      <c r="A186" s="254">
        <f>MAX(A$136:$A185)+1</f>
        <v>137</v>
      </c>
      <c r="B186" s="255" t="s">
        <v>702</v>
      </c>
      <c r="C186" s="263" t="s">
        <v>674</v>
      </c>
      <c r="D186" s="293" t="s">
        <v>173</v>
      </c>
      <c r="E186" s="293"/>
      <c r="F186" s="386" t="s">
        <v>699</v>
      </c>
      <c r="G186" s="337"/>
      <c r="H186" s="293" t="s">
        <v>700</v>
      </c>
      <c r="I186" s="515"/>
      <c r="J186" s="294">
        <v>25000</v>
      </c>
      <c r="K186" s="294"/>
      <c r="L186" s="294">
        <v>20000</v>
      </c>
      <c r="M186" s="292"/>
      <c r="N186" s="292"/>
      <c r="O186" s="292"/>
      <c r="P186" s="294">
        <f>Q186+R186</f>
        <v>20000</v>
      </c>
      <c r="Q186" s="292"/>
      <c r="R186" s="294">
        <v>20000</v>
      </c>
      <c r="S186" s="321"/>
      <c r="T186" s="709">
        <f t="shared" si="44"/>
        <v>0</v>
      </c>
      <c r="U186" s="709"/>
      <c r="V186" s="709">
        <v>1</v>
      </c>
      <c r="W186" s="709"/>
      <c r="X186" s="579">
        <f t="shared" si="66"/>
        <v>0.8</v>
      </c>
    </row>
    <row r="187" spans="1:25" ht="30" outlineLevel="1">
      <c r="A187" s="254">
        <f>MAX(A$136:$A186)+1</f>
        <v>138</v>
      </c>
      <c r="B187" s="255" t="s">
        <v>703</v>
      </c>
      <c r="C187" s="263" t="s">
        <v>674</v>
      </c>
      <c r="D187" s="293" t="s">
        <v>173</v>
      </c>
      <c r="E187" s="293"/>
      <c r="F187" s="386" t="s">
        <v>699</v>
      </c>
      <c r="G187" s="337"/>
      <c r="H187" s="293" t="s">
        <v>700</v>
      </c>
      <c r="I187" s="515"/>
      <c r="J187" s="294">
        <v>35000</v>
      </c>
      <c r="K187" s="294"/>
      <c r="L187" s="294">
        <v>30000</v>
      </c>
      <c r="M187" s="292"/>
      <c r="N187" s="292"/>
      <c r="O187" s="292"/>
      <c r="P187" s="294">
        <f>Q187+R187</f>
        <v>30000</v>
      </c>
      <c r="Q187" s="292"/>
      <c r="R187" s="294">
        <v>30000</v>
      </c>
      <c r="S187" s="321"/>
      <c r="T187" s="709">
        <f t="shared" si="44"/>
        <v>0</v>
      </c>
      <c r="U187" s="709"/>
      <c r="V187" s="709">
        <v>1</v>
      </c>
      <c r="W187" s="709"/>
      <c r="X187" s="579">
        <f t="shared" si="66"/>
        <v>0.8571428571428571</v>
      </c>
    </row>
    <row r="188" spans="1:25" s="297" customFormat="1" ht="18.75" customHeight="1">
      <c r="A188" s="527" t="s">
        <v>837</v>
      </c>
      <c r="B188" s="298" t="s">
        <v>179</v>
      </c>
      <c r="C188" s="394"/>
      <c r="D188" s="343"/>
      <c r="E188" s="343"/>
      <c r="F188" s="344"/>
      <c r="G188" s="344"/>
      <c r="H188" s="394"/>
      <c r="I188" s="343"/>
      <c r="J188" s="346">
        <f>SUM(J189:J192)</f>
        <v>1999968</v>
      </c>
      <c r="K188" s="346">
        <f t="shared" ref="K188:Q188" si="67">SUM(K189:K192)</f>
        <v>0</v>
      </c>
      <c r="L188" s="346">
        <f t="shared" si="67"/>
        <v>1999968</v>
      </c>
      <c r="M188" s="346">
        <f t="shared" si="67"/>
        <v>0</v>
      </c>
      <c r="N188" s="346">
        <f t="shared" si="67"/>
        <v>0</v>
      </c>
      <c r="O188" s="346">
        <f t="shared" si="67"/>
        <v>0</v>
      </c>
      <c r="P188" s="346">
        <f t="shared" si="67"/>
        <v>1105000</v>
      </c>
      <c r="Q188" s="346">
        <f t="shared" si="67"/>
        <v>0</v>
      </c>
      <c r="R188" s="346">
        <f>SUM(R189:R192)</f>
        <v>1105000</v>
      </c>
      <c r="S188" s="344"/>
      <c r="T188" s="709"/>
      <c r="U188" s="709"/>
      <c r="V188" s="709"/>
      <c r="W188" s="709"/>
      <c r="X188" s="579">
        <f t="shared" si="66"/>
        <v>0.5525088401414423</v>
      </c>
    </row>
    <row r="189" spans="1:25" s="297" customFormat="1" ht="45" outlineLevel="1">
      <c r="A189" s="254">
        <f>MAX(A$136:$A188)+1</f>
        <v>139</v>
      </c>
      <c r="B189" s="279" t="s">
        <v>711</v>
      </c>
      <c r="C189" s="263" t="s">
        <v>179</v>
      </c>
      <c r="D189" s="293" t="s">
        <v>101</v>
      </c>
      <c r="E189" s="293" t="s">
        <v>101</v>
      </c>
      <c r="F189" s="337" t="s">
        <v>209</v>
      </c>
      <c r="G189" s="337"/>
      <c r="H189" s="454" t="s">
        <v>211</v>
      </c>
      <c r="I189" s="293" t="s">
        <v>712</v>
      </c>
      <c r="J189" s="516">
        <v>99968</v>
      </c>
      <c r="K189" s="294"/>
      <c r="L189" s="516">
        <v>99968</v>
      </c>
      <c r="M189" s="294"/>
      <c r="N189" s="294"/>
      <c r="O189" s="294"/>
      <c r="P189" s="516">
        <v>95000</v>
      </c>
      <c r="Q189" s="294"/>
      <c r="R189" s="516">
        <v>95000</v>
      </c>
      <c r="S189" s="517"/>
      <c r="T189" s="709">
        <f t="shared" si="44"/>
        <v>4968</v>
      </c>
      <c r="U189" s="709"/>
      <c r="V189" s="709">
        <v>1</v>
      </c>
      <c r="W189" s="709"/>
      <c r="X189" s="579">
        <f t="shared" si="66"/>
        <v>0.95030409731113952</v>
      </c>
    </row>
    <row r="190" spans="1:25" s="297" customFormat="1" ht="30" outlineLevel="1">
      <c r="A190" s="254">
        <f>MAX(A$136:$A189)+1</f>
        <v>140</v>
      </c>
      <c r="B190" s="279" t="s">
        <v>709</v>
      </c>
      <c r="C190" s="263" t="s">
        <v>179</v>
      </c>
      <c r="D190" s="293" t="s">
        <v>101</v>
      </c>
      <c r="E190" s="293" t="s">
        <v>101</v>
      </c>
      <c r="F190" s="337" t="s">
        <v>556</v>
      </c>
      <c r="G190" s="337" t="s">
        <v>970</v>
      </c>
      <c r="H190" s="454" t="s">
        <v>278</v>
      </c>
      <c r="I190" s="293">
        <f>J190</f>
        <v>300000</v>
      </c>
      <c r="J190" s="516">
        <f>K190+L190</f>
        <v>300000</v>
      </c>
      <c r="K190" s="294"/>
      <c r="L190" s="516">
        <v>300000</v>
      </c>
      <c r="M190" s="294"/>
      <c r="N190" s="294"/>
      <c r="O190" s="294"/>
      <c r="P190" s="516">
        <f>Q190+R190</f>
        <v>300000</v>
      </c>
      <c r="Q190" s="294"/>
      <c r="R190" s="516">
        <v>300000</v>
      </c>
      <c r="S190" s="278" t="s">
        <v>713</v>
      </c>
      <c r="T190" s="709">
        <f t="shared" si="44"/>
        <v>0</v>
      </c>
      <c r="U190" s="709"/>
      <c r="V190" s="709">
        <v>1</v>
      </c>
      <c r="W190" s="709"/>
      <c r="X190" s="579">
        <f t="shared" si="66"/>
        <v>1</v>
      </c>
    </row>
    <row r="191" spans="1:25" ht="48" outlineLevel="1">
      <c r="A191" s="254">
        <f>MAX(A$136:$A190)+1</f>
        <v>141</v>
      </c>
      <c r="B191" s="268" t="s">
        <v>710</v>
      </c>
      <c r="C191" s="256" t="s">
        <v>179</v>
      </c>
      <c r="D191" s="510" t="s">
        <v>101</v>
      </c>
      <c r="E191" s="510" t="s">
        <v>101</v>
      </c>
      <c r="F191" s="257" t="s">
        <v>556</v>
      </c>
      <c r="G191" s="257" t="s">
        <v>970</v>
      </c>
      <c r="H191" s="454" t="s">
        <v>278</v>
      </c>
      <c r="I191" s="257" t="s">
        <v>707</v>
      </c>
      <c r="J191" s="516">
        <f>K191+L191</f>
        <v>600000</v>
      </c>
      <c r="K191" s="313"/>
      <c r="L191" s="516">
        <v>600000</v>
      </c>
      <c r="M191" s="313"/>
      <c r="N191" s="313"/>
      <c r="O191" s="313"/>
      <c r="P191" s="516">
        <f>Q191+R191</f>
        <v>600000</v>
      </c>
      <c r="Q191" s="313"/>
      <c r="R191" s="516">
        <v>600000</v>
      </c>
      <c r="S191" s="266" t="s">
        <v>714</v>
      </c>
      <c r="T191" s="709">
        <f t="shared" si="44"/>
        <v>0</v>
      </c>
      <c r="U191" s="709"/>
      <c r="V191" s="709">
        <v>1</v>
      </c>
      <c r="W191" s="709"/>
      <c r="X191" s="579">
        <f t="shared" si="66"/>
        <v>1</v>
      </c>
    </row>
    <row r="192" spans="1:25" ht="30" outlineLevel="1">
      <c r="A192" s="254">
        <f>MAX(A$136:$A191)+1</f>
        <v>142</v>
      </c>
      <c r="B192" s="268" t="s">
        <v>973</v>
      </c>
      <c r="C192" s="256" t="s">
        <v>179</v>
      </c>
      <c r="D192" s="510" t="s">
        <v>101</v>
      </c>
      <c r="E192" s="510" t="s">
        <v>101</v>
      </c>
      <c r="F192" s="257" t="s">
        <v>556</v>
      </c>
      <c r="G192" s="257"/>
      <c r="H192" s="454" t="s">
        <v>278</v>
      </c>
      <c r="I192" s="257"/>
      <c r="J192" s="516">
        <f>K192+L192</f>
        <v>1000000</v>
      </c>
      <c r="K192" s="313"/>
      <c r="L192" s="516">
        <v>1000000</v>
      </c>
      <c r="M192" s="313"/>
      <c r="N192" s="313"/>
      <c r="O192" s="313"/>
      <c r="P192" s="516">
        <f>Q192+R192</f>
        <v>110000</v>
      </c>
      <c r="Q192" s="313"/>
      <c r="R192" s="516">
        <v>110000</v>
      </c>
      <c r="S192" s="266"/>
      <c r="T192" s="713">
        <f t="shared" si="44"/>
        <v>890000</v>
      </c>
      <c r="U192" s="713">
        <v>1</v>
      </c>
      <c r="V192" s="709"/>
      <c r="W192" s="709"/>
      <c r="X192" s="579"/>
    </row>
    <row r="193" spans="1:24" s="297" customFormat="1" ht="18.75" customHeight="1">
      <c r="A193" s="527" t="s">
        <v>838</v>
      </c>
      <c r="B193" s="298" t="s">
        <v>669</v>
      </c>
      <c r="C193" s="394"/>
      <c r="D193" s="343"/>
      <c r="E193" s="343"/>
      <c r="F193" s="344"/>
      <c r="G193" s="344"/>
      <c r="H193" s="394"/>
      <c r="I193" s="343"/>
      <c r="J193" s="346">
        <f>SUM(J194:J196)</f>
        <v>242000</v>
      </c>
      <c r="K193" s="346">
        <f t="shared" ref="K193:R193" si="68">SUM(K194:K196)</f>
        <v>0</v>
      </c>
      <c r="L193" s="346">
        <f t="shared" si="68"/>
        <v>180000</v>
      </c>
      <c r="M193" s="346">
        <f t="shared" si="68"/>
        <v>0</v>
      </c>
      <c r="N193" s="346">
        <f t="shared" si="68"/>
        <v>0</v>
      </c>
      <c r="O193" s="346">
        <f t="shared" si="68"/>
        <v>0</v>
      </c>
      <c r="P193" s="346">
        <f t="shared" si="68"/>
        <v>180000</v>
      </c>
      <c r="Q193" s="346">
        <f t="shared" si="68"/>
        <v>0</v>
      </c>
      <c r="R193" s="346">
        <f t="shared" si="68"/>
        <v>180000</v>
      </c>
      <c r="S193" s="581"/>
      <c r="T193" s="709"/>
      <c r="U193" s="709"/>
      <c r="V193" s="709"/>
      <c r="W193" s="709"/>
      <c r="X193" s="579">
        <f t="shared" si="66"/>
        <v>0.74380165289256195</v>
      </c>
    </row>
    <row r="194" spans="1:24" ht="60" outlineLevel="1">
      <c r="A194" s="254">
        <f>MAX(A$136:$A193)+1</f>
        <v>143</v>
      </c>
      <c r="B194" s="279" t="s">
        <v>866</v>
      </c>
      <c r="C194" s="263" t="s">
        <v>669</v>
      </c>
      <c r="D194" s="293" t="s">
        <v>173</v>
      </c>
      <c r="E194" s="293"/>
      <c r="F194" s="337" t="s">
        <v>867</v>
      </c>
      <c r="G194" s="337" t="s">
        <v>868</v>
      </c>
      <c r="H194" s="263" t="s">
        <v>799</v>
      </c>
      <c r="I194" s="518"/>
      <c r="J194" s="294">
        <v>90000</v>
      </c>
      <c r="K194" s="519"/>
      <c r="L194" s="294">
        <v>70000</v>
      </c>
      <c r="M194" s="519"/>
      <c r="N194" s="519"/>
      <c r="O194" s="519"/>
      <c r="P194" s="294">
        <f>Q194+R194</f>
        <v>70000</v>
      </c>
      <c r="Q194" s="294"/>
      <c r="R194" s="294">
        <v>70000</v>
      </c>
      <c r="S194" s="520"/>
      <c r="T194" s="709">
        <f t="shared" si="44"/>
        <v>0</v>
      </c>
      <c r="U194" s="709"/>
      <c r="V194" s="709">
        <v>1</v>
      </c>
      <c r="W194" s="709"/>
      <c r="X194" s="579"/>
    </row>
    <row r="195" spans="1:24" ht="51" customHeight="1" outlineLevel="1">
      <c r="A195" s="254">
        <f>MAX(A$136:$A194)+1</f>
        <v>144</v>
      </c>
      <c r="B195" s="279" t="s">
        <v>718</v>
      </c>
      <c r="C195" s="263" t="s">
        <v>669</v>
      </c>
      <c r="D195" s="293" t="s">
        <v>173</v>
      </c>
      <c r="E195" s="293"/>
      <c r="F195" s="337" t="s">
        <v>719</v>
      </c>
      <c r="G195" s="337" t="s">
        <v>720</v>
      </c>
      <c r="H195" s="263" t="s">
        <v>799</v>
      </c>
      <c r="I195" s="518"/>
      <c r="J195" s="294">
        <v>100000</v>
      </c>
      <c r="K195" s="519"/>
      <c r="L195" s="294">
        <v>80000</v>
      </c>
      <c r="M195" s="519"/>
      <c r="N195" s="519"/>
      <c r="O195" s="519"/>
      <c r="P195" s="294">
        <f>Q195+R195</f>
        <v>80000</v>
      </c>
      <c r="Q195" s="294"/>
      <c r="R195" s="294">
        <v>80000</v>
      </c>
      <c r="S195" s="520"/>
      <c r="T195" s="709">
        <f t="shared" si="44"/>
        <v>0</v>
      </c>
      <c r="U195" s="709"/>
      <c r="V195" s="709">
        <v>1</v>
      </c>
      <c r="W195" s="709"/>
      <c r="X195" s="579">
        <f t="shared" si="66"/>
        <v>0.8</v>
      </c>
    </row>
    <row r="196" spans="1:24" ht="45" outlineLevel="1">
      <c r="A196" s="254">
        <f>MAX(A$136:$A195)+1</f>
        <v>145</v>
      </c>
      <c r="B196" s="255" t="s">
        <v>715</v>
      </c>
      <c r="C196" s="263" t="s">
        <v>669</v>
      </c>
      <c r="D196" s="293" t="s">
        <v>173</v>
      </c>
      <c r="E196" s="293"/>
      <c r="F196" s="337" t="s">
        <v>716</v>
      </c>
      <c r="G196" s="337" t="s">
        <v>717</v>
      </c>
      <c r="H196" s="263" t="s">
        <v>869</v>
      </c>
      <c r="I196" s="293"/>
      <c r="J196" s="294">
        <v>52000</v>
      </c>
      <c r="K196" s="295"/>
      <c r="L196" s="294">
        <v>30000</v>
      </c>
      <c r="M196" s="295"/>
      <c r="N196" s="295"/>
      <c r="O196" s="295"/>
      <c r="P196" s="294">
        <f>Q196+R196</f>
        <v>30000</v>
      </c>
      <c r="Q196" s="294"/>
      <c r="R196" s="294">
        <v>30000</v>
      </c>
      <c r="S196" s="293"/>
      <c r="T196" s="709">
        <f t="shared" si="44"/>
        <v>0</v>
      </c>
      <c r="U196" s="709"/>
      <c r="V196" s="709">
        <v>1</v>
      </c>
      <c r="W196" s="709"/>
      <c r="X196" s="579">
        <f>R196/J196</f>
        <v>0.57692307692307687</v>
      </c>
    </row>
    <row r="197" spans="1:24" s="297" customFormat="1" ht="18.75" customHeight="1">
      <c r="A197" s="527" t="s">
        <v>839</v>
      </c>
      <c r="B197" s="298" t="s">
        <v>180</v>
      </c>
      <c r="C197" s="394"/>
      <c r="D197" s="343"/>
      <c r="E197" s="343"/>
      <c r="F197" s="344"/>
      <c r="G197" s="344"/>
      <c r="H197" s="394"/>
      <c r="I197" s="343"/>
      <c r="J197" s="346">
        <f t="shared" ref="J197:R197" si="69">SUM(J198:J199)</f>
        <v>210000</v>
      </c>
      <c r="K197" s="346">
        <f t="shared" si="69"/>
        <v>0</v>
      </c>
      <c r="L197" s="346">
        <f t="shared" si="69"/>
        <v>180000</v>
      </c>
      <c r="M197" s="346">
        <f t="shared" si="69"/>
        <v>0</v>
      </c>
      <c r="N197" s="346">
        <f t="shared" si="69"/>
        <v>0</v>
      </c>
      <c r="O197" s="346">
        <f t="shared" si="69"/>
        <v>0</v>
      </c>
      <c r="P197" s="346">
        <f t="shared" si="69"/>
        <v>180000</v>
      </c>
      <c r="Q197" s="346">
        <f t="shared" si="69"/>
        <v>0</v>
      </c>
      <c r="R197" s="346">
        <f t="shared" si="69"/>
        <v>180000</v>
      </c>
      <c r="S197" s="344"/>
      <c r="T197" s="709"/>
      <c r="U197" s="709"/>
      <c r="V197" s="709"/>
      <c r="W197" s="709"/>
      <c r="X197" s="579">
        <f t="shared" si="66"/>
        <v>0.8571428571428571</v>
      </c>
    </row>
    <row r="198" spans="1:24" ht="45" outlineLevel="1">
      <c r="A198" s="254">
        <f>MAX(A$136:$A197)+1</f>
        <v>146</v>
      </c>
      <c r="B198" s="255" t="s">
        <v>721</v>
      </c>
      <c r="C198" s="263" t="s">
        <v>180</v>
      </c>
      <c r="D198" s="293" t="s">
        <v>173</v>
      </c>
      <c r="E198" s="293"/>
      <c r="F198" s="337" t="s">
        <v>722</v>
      </c>
      <c r="G198" s="337" t="s">
        <v>723</v>
      </c>
      <c r="H198" s="293" t="s">
        <v>300</v>
      </c>
      <c r="I198" s="293"/>
      <c r="J198" s="294">
        <v>90000</v>
      </c>
      <c r="K198" s="295"/>
      <c r="L198" s="294">
        <v>80000</v>
      </c>
      <c r="M198" s="294"/>
      <c r="N198" s="294"/>
      <c r="O198" s="294"/>
      <c r="P198" s="294">
        <f>Q198+R198</f>
        <v>80000</v>
      </c>
      <c r="Q198" s="294"/>
      <c r="R198" s="294">
        <v>80000</v>
      </c>
      <c r="S198" s="293"/>
      <c r="T198" s="709">
        <f t="shared" si="44"/>
        <v>0</v>
      </c>
      <c r="U198" s="709"/>
      <c r="V198" s="709">
        <v>1</v>
      </c>
      <c r="W198" s="709"/>
      <c r="X198" s="579">
        <f>R198/J198</f>
        <v>0.88888888888888884</v>
      </c>
    </row>
    <row r="199" spans="1:24" ht="36" outlineLevel="1">
      <c r="A199" s="254">
        <f>MAX(A$136:$A198)+1</f>
        <v>147</v>
      </c>
      <c r="B199" s="279" t="s">
        <v>724</v>
      </c>
      <c r="C199" s="263" t="s">
        <v>180</v>
      </c>
      <c r="D199" s="293" t="s">
        <v>173</v>
      </c>
      <c r="E199" s="293"/>
      <c r="F199" s="337" t="s">
        <v>725</v>
      </c>
      <c r="G199" s="337" t="s">
        <v>726</v>
      </c>
      <c r="H199" s="293" t="s">
        <v>300</v>
      </c>
      <c r="I199" s="293"/>
      <c r="J199" s="294">
        <v>120000</v>
      </c>
      <c r="K199" s="295"/>
      <c r="L199" s="294">
        <v>100000</v>
      </c>
      <c r="M199" s="294"/>
      <c r="N199" s="294"/>
      <c r="O199" s="294"/>
      <c r="P199" s="294">
        <f>Q199+R199</f>
        <v>100000</v>
      </c>
      <c r="Q199" s="294"/>
      <c r="R199" s="294">
        <v>100000</v>
      </c>
      <c r="S199" s="520"/>
      <c r="T199" s="709">
        <f t="shared" si="44"/>
        <v>0</v>
      </c>
      <c r="U199" s="709"/>
      <c r="V199" s="709">
        <v>1</v>
      </c>
      <c r="W199" s="709"/>
      <c r="X199" s="579">
        <f t="shared" si="66"/>
        <v>0.83333333333333337</v>
      </c>
    </row>
    <row r="200" spans="1:24" s="297" customFormat="1" ht="18.75" customHeight="1">
      <c r="A200" s="527" t="s">
        <v>840</v>
      </c>
      <c r="B200" s="298" t="s">
        <v>730</v>
      </c>
      <c r="C200" s="394"/>
      <c r="D200" s="343"/>
      <c r="E200" s="343"/>
      <c r="F200" s="344"/>
      <c r="G200" s="344"/>
      <c r="H200" s="394"/>
      <c r="I200" s="343"/>
      <c r="J200" s="346">
        <f>SUM(J201:J202)</f>
        <v>276000</v>
      </c>
      <c r="K200" s="346">
        <f t="shared" ref="K200:R200" si="70">SUM(K201:K202)</f>
        <v>0</v>
      </c>
      <c r="L200" s="346">
        <f t="shared" si="70"/>
        <v>180000</v>
      </c>
      <c r="M200" s="346">
        <f t="shared" si="70"/>
        <v>0</v>
      </c>
      <c r="N200" s="346">
        <f t="shared" si="70"/>
        <v>0</v>
      </c>
      <c r="O200" s="346">
        <f t="shared" si="70"/>
        <v>0</v>
      </c>
      <c r="P200" s="346">
        <f t="shared" si="70"/>
        <v>180000</v>
      </c>
      <c r="Q200" s="346">
        <f t="shared" si="70"/>
        <v>0</v>
      </c>
      <c r="R200" s="346">
        <f t="shared" si="70"/>
        <v>180000</v>
      </c>
      <c r="S200" s="344"/>
      <c r="T200" s="709"/>
      <c r="U200" s="709"/>
      <c r="V200" s="709"/>
      <c r="W200" s="709"/>
      <c r="X200" s="579">
        <f t="shared" si="66"/>
        <v>0.65217391304347827</v>
      </c>
    </row>
    <row r="201" spans="1:24" ht="45" outlineLevel="1">
      <c r="A201" s="254">
        <f>MAX(A$136:$A200)+1</f>
        <v>148</v>
      </c>
      <c r="B201" s="255" t="s">
        <v>731</v>
      </c>
      <c r="C201" s="263" t="s">
        <v>732</v>
      </c>
      <c r="D201" s="293" t="s">
        <v>101</v>
      </c>
      <c r="E201" s="293"/>
      <c r="F201" s="337" t="s">
        <v>733</v>
      </c>
      <c r="G201" s="337" t="s">
        <v>734</v>
      </c>
      <c r="H201" s="293" t="s">
        <v>211</v>
      </c>
      <c r="I201" s="293"/>
      <c r="J201" s="294">
        <v>180000</v>
      </c>
      <c r="K201" s="295"/>
      <c r="L201" s="294">
        <v>120000</v>
      </c>
      <c r="M201" s="294"/>
      <c r="N201" s="294"/>
      <c r="O201" s="294"/>
      <c r="P201" s="294">
        <f>Q201+R201</f>
        <v>120000</v>
      </c>
      <c r="Q201" s="294"/>
      <c r="R201" s="294">
        <v>120000</v>
      </c>
      <c r="S201" s="293"/>
      <c r="T201" s="709">
        <f t="shared" si="44"/>
        <v>0</v>
      </c>
      <c r="U201" s="709"/>
      <c r="V201" s="709">
        <v>1</v>
      </c>
      <c r="W201" s="709"/>
      <c r="X201" s="579">
        <f t="shared" si="66"/>
        <v>0.66666666666666663</v>
      </c>
    </row>
    <row r="202" spans="1:24" ht="30" outlineLevel="1">
      <c r="A202" s="254">
        <f>MAX(A$136:$A201)+1</f>
        <v>149</v>
      </c>
      <c r="B202" s="255" t="s">
        <v>735</v>
      </c>
      <c r="C202" s="263" t="s">
        <v>732</v>
      </c>
      <c r="D202" s="293" t="s">
        <v>173</v>
      </c>
      <c r="E202" s="293"/>
      <c r="F202" s="337" t="s">
        <v>736</v>
      </c>
      <c r="G202" s="337" t="s">
        <v>737</v>
      </c>
      <c r="H202" s="293" t="s">
        <v>212</v>
      </c>
      <c r="I202" s="293"/>
      <c r="J202" s="294">
        <v>96000</v>
      </c>
      <c r="K202" s="295"/>
      <c r="L202" s="294">
        <v>60000</v>
      </c>
      <c r="M202" s="294"/>
      <c r="N202" s="294"/>
      <c r="O202" s="294"/>
      <c r="P202" s="294">
        <f>Q202+R202</f>
        <v>60000</v>
      </c>
      <c r="Q202" s="294"/>
      <c r="R202" s="294">
        <v>60000</v>
      </c>
      <c r="S202" s="293"/>
      <c r="T202" s="709">
        <f t="shared" si="44"/>
        <v>0</v>
      </c>
      <c r="U202" s="709"/>
      <c r="V202" s="709">
        <v>1</v>
      </c>
      <c r="W202" s="709"/>
      <c r="X202" s="579">
        <f t="shared" si="66"/>
        <v>0.625</v>
      </c>
    </row>
    <row r="203" spans="1:24" s="297" customFormat="1" ht="18.75" customHeight="1">
      <c r="A203" s="527" t="s">
        <v>841</v>
      </c>
      <c r="B203" s="298" t="s">
        <v>186</v>
      </c>
      <c r="C203" s="394"/>
      <c r="D203" s="343"/>
      <c r="E203" s="343"/>
      <c r="F203" s="344"/>
      <c r="G203" s="344"/>
      <c r="H203" s="394"/>
      <c r="I203" s="343"/>
      <c r="J203" s="346">
        <f>SUM(J204:J207)</f>
        <v>220000</v>
      </c>
      <c r="K203" s="346">
        <f t="shared" ref="K203:R203" si="71">SUM(K204:K207)</f>
        <v>0</v>
      </c>
      <c r="L203" s="346">
        <f t="shared" si="71"/>
        <v>180000</v>
      </c>
      <c r="M203" s="346">
        <f t="shared" si="71"/>
        <v>0</v>
      </c>
      <c r="N203" s="346">
        <f t="shared" si="71"/>
        <v>0</v>
      </c>
      <c r="O203" s="346">
        <f t="shared" si="71"/>
        <v>0</v>
      </c>
      <c r="P203" s="346">
        <f t="shared" si="71"/>
        <v>180000</v>
      </c>
      <c r="Q203" s="346">
        <f t="shared" si="71"/>
        <v>0</v>
      </c>
      <c r="R203" s="346">
        <f t="shared" si="71"/>
        <v>180000</v>
      </c>
      <c r="S203" s="581"/>
      <c r="T203" s="709"/>
      <c r="U203" s="709"/>
      <c r="V203" s="709"/>
      <c r="W203" s="709"/>
      <c r="X203" s="579">
        <f t="shared" si="66"/>
        <v>0.81818181818181823</v>
      </c>
    </row>
    <row r="204" spans="1:24" s="297" customFormat="1" ht="30" outlineLevel="1">
      <c r="A204" s="254">
        <f>MAX(A$136:$A203)+1</f>
        <v>150</v>
      </c>
      <c r="B204" s="255" t="s">
        <v>738</v>
      </c>
      <c r="C204" s="263" t="s">
        <v>186</v>
      </c>
      <c r="D204" s="293" t="s">
        <v>173</v>
      </c>
      <c r="E204" s="293"/>
      <c r="F204" s="337" t="s">
        <v>739</v>
      </c>
      <c r="G204" s="337"/>
      <c r="H204" s="293" t="s">
        <v>212</v>
      </c>
      <c r="I204" s="293"/>
      <c r="J204" s="294">
        <v>25000</v>
      </c>
      <c r="K204" s="295"/>
      <c r="L204" s="294">
        <v>20000</v>
      </c>
      <c r="M204" s="295"/>
      <c r="N204" s="295"/>
      <c r="O204" s="295"/>
      <c r="P204" s="294">
        <f>Q204+R204</f>
        <v>20000</v>
      </c>
      <c r="Q204" s="294"/>
      <c r="R204" s="294">
        <v>20000</v>
      </c>
      <c r="S204" s="293"/>
      <c r="T204" s="709">
        <f t="shared" ref="T204:T240" si="72">L204-R204</f>
        <v>0</v>
      </c>
      <c r="U204" s="709"/>
      <c r="V204" s="709">
        <v>1</v>
      </c>
      <c r="W204" s="709"/>
      <c r="X204" s="579">
        <f t="shared" si="66"/>
        <v>0.8</v>
      </c>
    </row>
    <row r="205" spans="1:24" s="297" customFormat="1" ht="34.5" customHeight="1" outlineLevel="1">
      <c r="A205" s="254">
        <f>MAX(A$136:$A204)+1</f>
        <v>151</v>
      </c>
      <c r="B205" s="255" t="s">
        <v>740</v>
      </c>
      <c r="C205" s="263" t="s">
        <v>186</v>
      </c>
      <c r="D205" s="293" t="s">
        <v>173</v>
      </c>
      <c r="E205" s="293"/>
      <c r="F205" s="337" t="s">
        <v>233</v>
      </c>
      <c r="G205" s="337"/>
      <c r="H205" s="293" t="s">
        <v>212</v>
      </c>
      <c r="I205" s="293"/>
      <c r="J205" s="294">
        <v>25000</v>
      </c>
      <c r="K205" s="295"/>
      <c r="L205" s="294">
        <v>20000</v>
      </c>
      <c r="M205" s="295"/>
      <c r="N205" s="295"/>
      <c r="O205" s="295"/>
      <c r="P205" s="294">
        <f>Q205+R205</f>
        <v>20000</v>
      </c>
      <c r="Q205" s="294"/>
      <c r="R205" s="294">
        <v>20000</v>
      </c>
      <c r="S205" s="293"/>
      <c r="T205" s="709">
        <f t="shared" si="72"/>
        <v>0</v>
      </c>
      <c r="U205" s="709"/>
      <c r="V205" s="709">
        <v>1</v>
      </c>
      <c r="W205" s="709"/>
      <c r="X205" s="579">
        <f t="shared" si="66"/>
        <v>0.8</v>
      </c>
    </row>
    <row r="206" spans="1:24" s="297" customFormat="1" ht="45" outlineLevel="1">
      <c r="A206" s="254">
        <f>MAX(A$136:$A205)+1</f>
        <v>152</v>
      </c>
      <c r="B206" s="255" t="s">
        <v>872</v>
      </c>
      <c r="C206" s="263" t="s">
        <v>186</v>
      </c>
      <c r="D206" s="293" t="s">
        <v>101</v>
      </c>
      <c r="E206" s="293"/>
      <c r="F206" s="337" t="s">
        <v>871</v>
      </c>
      <c r="G206" s="337"/>
      <c r="H206" s="293" t="s">
        <v>278</v>
      </c>
      <c r="I206" s="293"/>
      <c r="J206" s="294">
        <v>130000</v>
      </c>
      <c r="K206" s="295"/>
      <c r="L206" s="294">
        <v>110000</v>
      </c>
      <c r="M206" s="295"/>
      <c r="N206" s="295"/>
      <c r="O206" s="295"/>
      <c r="P206" s="294">
        <f>Q206+R206</f>
        <v>110000</v>
      </c>
      <c r="Q206" s="294"/>
      <c r="R206" s="294">
        <v>110000</v>
      </c>
      <c r="S206" s="293"/>
      <c r="T206" s="709">
        <f t="shared" si="72"/>
        <v>0</v>
      </c>
      <c r="U206" s="709"/>
      <c r="V206" s="709">
        <v>1</v>
      </c>
      <c r="W206" s="709"/>
      <c r="X206" s="579">
        <f t="shared" si="66"/>
        <v>0.84615384615384615</v>
      </c>
    </row>
    <row r="207" spans="1:24" s="297" customFormat="1" ht="45" outlineLevel="1">
      <c r="A207" s="254">
        <f>MAX(A$136:$A206)+1</f>
        <v>153</v>
      </c>
      <c r="B207" s="255" t="s">
        <v>870</v>
      </c>
      <c r="C207" s="263" t="s">
        <v>186</v>
      </c>
      <c r="D207" s="293" t="s">
        <v>173</v>
      </c>
      <c r="E207" s="293"/>
      <c r="F207" s="337" t="s">
        <v>871</v>
      </c>
      <c r="G207" s="337"/>
      <c r="H207" s="293" t="s">
        <v>234</v>
      </c>
      <c r="I207" s="293"/>
      <c r="J207" s="294">
        <v>40000</v>
      </c>
      <c r="K207" s="295"/>
      <c r="L207" s="294">
        <v>30000</v>
      </c>
      <c r="M207" s="295"/>
      <c r="N207" s="295"/>
      <c r="O207" s="295"/>
      <c r="P207" s="294">
        <f>Q207+R207</f>
        <v>30000</v>
      </c>
      <c r="Q207" s="294"/>
      <c r="R207" s="294">
        <v>30000</v>
      </c>
      <c r="S207" s="293"/>
      <c r="T207" s="709">
        <f t="shared" si="72"/>
        <v>0</v>
      </c>
      <c r="U207" s="709"/>
      <c r="V207" s="709">
        <v>1</v>
      </c>
      <c r="W207" s="709"/>
      <c r="X207" s="579">
        <f>R207/J207</f>
        <v>0.75</v>
      </c>
    </row>
    <row r="208" spans="1:24" s="297" customFormat="1" ht="18.75" customHeight="1">
      <c r="A208" s="527" t="s">
        <v>842</v>
      </c>
      <c r="B208" s="298" t="s">
        <v>187</v>
      </c>
      <c r="C208" s="394"/>
      <c r="D208" s="343"/>
      <c r="E208" s="343"/>
      <c r="F208" s="344"/>
      <c r="G208" s="344"/>
      <c r="H208" s="394"/>
      <c r="I208" s="343"/>
      <c r="J208" s="346">
        <f t="shared" ref="J208:R208" si="73">SUM(J209:J213)</f>
        <v>239990</v>
      </c>
      <c r="K208" s="346">
        <f t="shared" si="73"/>
        <v>0</v>
      </c>
      <c r="L208" s="346">
        <f t="shared" si="73"/>
        <v>180000</v>
      </c>
      <c r="M208" s="346">
        <f t="shared" si="73"/>
        <v>0</v>
      </c>
      <c r="N208" s="346">
        <f t="shared" si="73"/>
        <v>0</v>
      </c>
      <c r="O208" s="346">
        <f t="shared" si="73"/>
        <v>0</v>
      </c>
      <c r="P208" s="346">
        <f t="shared" si="73"/>
        <v>180000</v>
      </c>
      <c r="Q208" s="346">
        <f t="shared" si="73"/>
        <v>0</v>
      </c>
      <c r="R208" s="346">
        <f t="shared" si="73"/>
        <v>180000</v>
      </c>
      <c r="S208" s="344"/>
      <c r="T208" s="709"/>
      <c r="U208" s="709"/>
      <c r="V208" s="709"/>
      <c r="W208" s="709"/>
      <c r="X208" s="579">
        <f t="shared" si="66"/>
        <v>0.75003125130213755</v>
      </c>
    </row>
    <row r="209" spans="1:24" ht="45" outlineLevel="1">
      <c r="A209" s="254">
        <f>MAX(A$136:$A208)+1</f>
        <v>154</v>
      </c>
      <c r="B209" s="255" t="s">
        <v>861</v>
      </c>
      <c r="C209" s="263" t="s">
        <v>187</v>
      </c>
      <c r="D209" s="293" t="s">
        <v>173</v>
      </c>
      <c r="E209" s="293"/>
      <c r="F209" s="386" t="s">
        <v>760</v>
      </c>
      <c r="G209" s="337" t="s">
        <v>761</v>
      </c>
      <c r="H209" s="293"/>
      <c r="I209" s="486"/>
      <c r="J209" s="456">
        <v>30000</v>
      </c>
      <c r="K209" s="294"/>
      <c r="L209" s="294">
        <v>25000</v>
      </c>
      <c r="M209" s="294"/>
      <c r="N209" s="294"/>
      <c r="O209" s="294"/>
      <c r="P209" s="294">
        <f>Q209+R209</f>
        <v>25000</v>
      </c>
      <c r="Q209" s="294"/>
      <c r="R209" s="294">
        <v>25000</v>
      </c>
      <c r="S209" s="516"/>
      <c r="T209" s="709">
        <f t="shared" si="72"/>
        <v>0</v>
      </c>
      <c r="U209" s="709"/>
      <c r="V209" s="709">
        <v>1</v>
      </c>
      <c r="W209" s="709"/>
      <c r="X209" s="579">
        <f t="shared" si="66"/>
        <v>0.83333333333333337</v>
      </c>
    </row>
    <row r="210" spans="1:24" ht="30" outlineLevel="1">
      <c r="A210" s="254">
        <f>MAX(A$136:$A209)+1</f>
        <v>155</v>
      </c>
      <c r="B210" s="255" t="s">
        <v>762</v>
      </c>
      <c r="C210" s="263" t="s">
        <v>187</v>
      </c>
      <c r="D210" s="293" t="s">
        <v>173</v>
      </c>
      <c r="E210" s="293"/>
      <c r="F210" s="386" t="s">
        <v>760</v>
      </c>
      <c r="G210" s="337" t="s">
        <v>763</v>
      </c>
      <c r="H210" s="293"/>
      <c r="I210" s="486"/>
      <c r="J210" s="456">
        <v>50000</v>
      </c>
      <c r="K210" s="294"/>
      <c r="L210" s="294">
        <v>45000</v>
      </c>
      <c r="M210" s="294"/>
      <c r="N210" s="294"/>
      <c r="O210" s="294"/>
      <c r="P210" s="294">
        <f t="shared" ref="P210:P233" si="74">Q210+R210</f>
        <v>45000</v>
      </c>
      <c r="Q210" s="294"/>
      <c r="R210" s="294">
        <v>45000</v>
      </c>
      <c r="S210" s="516"/>
      <c r="T210" s="709">
        <f t="shared" si="72"/>
        <v>0</v>
      </c>
      <c r="U210" s="709"/>
      <c r="V210" s="709">
        <v>1</v>
      </c>
      <c r="W210" s="709"/>
      <c r="X210" s="579">
        <f t="shared" si="66"/>
        <v>0.9</v>
      </c>
    </row>
    <row r="211" spans="1:24" ht="36" outlineLevel="1">
      <c r="A211" s="254">
        <f>MAX(A$136:$A210)+1</f>
        <v>156</v>
      </c>
      <c r="B211" s="255" t="s">
        <v>767</v>
      </c>
      <c r="C211" s="263" t="s">
        <v>187</v>
      </c>
      <c r="D211" s="293" t="s">
        <v>173</v>
      </c>
      <c r="E211" s="293"/>
      <c r="F211" s="386" t="s">
        <v>768</v>
      </c>
      <c r="G211" s="337" t="s">
        <v>769</v>
      </c>
      <c r="H211" s="293"/>
      <c r="I211" s="486"/>
      <c r="J211" s="456">
        <v>40000</v>
      </c>
      <c r="K211" s="294"/>
      <c r="L211" s="294">
        <v>25000</v>
      </c>
      <c r="M211" s="294"/>
      <c r="N211" s="294"/>
      <c r="O211" s="294"/>
      <c r="P211" s="294">
        <f t="shared" si="74"/>
        <v>25000</v>
      </c>
      <c r="Q211" s="294"/>
      <c r="R211" s="294">
        <v>25000</v>
      </c>
      <c r="S211" s="516"/>
      <c r="T211" s="709">
        <f t="shared" si="72"/>
        <v>0</v>
      </c>
      <c r="U211" s="709"/>
      <c r="V211" s="709">
        <v>1</v>
      </c>
      <c r="W211" s="709"/>
      <c r="X211" s="579">
        <f t="shared" si="66"/>
        <v>0.625</v>
      </c>
    </row>
    <row r="212" spans="1:24" ht="31.9" customHeight="1" outlineLevel="1">
      <c r="A212" s="254">
        <f>MAX(A$136:$A211)+1</f>
        <v>157</v>
      </c>
      <c r="B212" s="255" t="s">
        <v>776</v>
      </c>
      <c r="C212" s="263" t="s">
        <v>187</v>
      </c>
      <c r="D212" s="293" t="s">
        <v>173</v>
      </c>
      <c r="E212" s="293"/>
      <c r="F212" s="337" t="s">
        <v>760</v>
      </c>
      <c r="G212" s="337" t="s">
        <v>777</v>
      </c>
      <c r="H212" s="293"/>
      <c r="I212" s="293"/>
      <c r="J212" s="456">
        <v>40000</v>
      </c>
      <c r="K212" s="295"/>
      <c r="L212" s="294">
        <v>25000</v>
      </c>
      <c r="M212" s="294"/>
      <c r="N212" s="294"/>
      <c r="O212" s="294"/>
      <c r="P212" s="294">
        <f t="shared" si="74"/>
        <v>25000</v>
      </c>
      <c r="Q212" s="294"/>
      <c r="R212" s="294">
        <v>25000</v>
      </c>
      <c r="S212" s="293"/>
      <c r="T212" s="709">
        <f t="shared" si="72"/>
        <v>0</v>
      </c>
      <c r="U212" s="709"/>
      <c r="V212" s="709">
        <v>1</v>
      </c>
      <c r="W212" s="709"/>
      <c r="X212" s="579">
        <f t="shared" si="66"/>
        <v>0.625</v>
      </c>
    </row>
    <row r="213" spans="1:24" ht="45" outlineLevel="1">
      <c r="A213" s="254">
        <f>MAX(A$136:$A212)+1</f>
        <v>158</v>
      </c>
      <c r="B213" s="255" t="s">
        <v>778</v>
      </c>
      <c r="C213" s="263" t="s">
        <v>187</v>
      </c>
      <c r="D213" s="293" t="s">
        <v>173</v>
      </c>
      <c r="E213" s="293"/>
      <c r="F213" s="337" t="s">
        <v>779</v>
      </c>
      <c r="G213" s="337" t="s">
        <v>780</v>
      </c>
      <c r="H213" s="293"/>
      <c r="I213" s="293"/>
      <c r="J213" s="456">
        <v>79990</v>
      </c>
      <c r="K213" s="295"/>
      <c r="L213" s="294">
        <v>60000</v>
      </c>
      <c r="M213" s="294"/>
      <c r="N213" s="294"/>
      <c r="O213" s="294"/>
      <c r="P213" s="294">
        <f t="shared" si="74"/>
        <v>60000</v>
      </c>
      <c r="Q213" s="294"/>
      <c r="R213" s="294">
        <v>60000</v>
      </c>
      <c r="S213" s="293"/>
      <c r="T213" s="709">
        <f t="shared" si="72"/>
        <v>0</v>
      </c>
      <c r="U213" s="709"/>
      <c r="V213" s="709">
        <v>1</v>
      </c>
      <c r="W213" s="709"/>
      <c r="X213" s="579">
        <f t="shared" si="66"/>
        <v>0.75009376172021502</v>
      </c>
    </row>
    <row r="214" spans="1:24" s="297" customFormat="1" ht="18.75" customHeight="1">
      <c r="A214" s="527" t="s">
        <v>843</v>
      </c>
      <c r="B214" s="298" t="s">
        <v>670</v>
      </c>
      <c r="C214" s="394"/>
      <c r="D214" s="343"/>
      <c r="E214" s="343"/>
      <c r="F214" s="344"/>
      <c r="G214" s="344"/>
      <c r="H214" s="394"/>
      <c r="I214" s="343"/>
      <c r="J214" s="346">
        <f>SUM(J215:J222)</f>
        <v>237773.51</v>
      </c>
      <c r="K214" s="346">
        <f t="shared" ref="K214:R214" si="75">SUM(K215:K222)</f>
        <v>0</v>
      </c>
      <c r="L214" s="346">
        <f t="shared" si="75"/>
        <v>180000</v>
      </c>
      <c r="M214" s="346">
        <f t="shared" si="75"/>
        <v>0</v>
      </c>
      <c r="N214" s="346">
        <f t="shared" si="75"/>
        <v>0</v>
      </c>
      <c r="O214" s="346">
        <f t="shared" si="75"/>
        <v>0</v>
      </c>
      <c r="P214" s="346">
        <f t="shared" si="75"/>
        <v>180000</v>
      </c>
      <c r="Q214" s="346">
        <f t="shared" si="75"/>
        <v>0</v>
      </c>
      <c r="R214" s="346">
        <f t="shared" si="75"/>
        <v>180000</v>
      </c>
      <c r="S214" s="581"/>
      <c r="T214" s="709"/>
      <c r="U214" s="709"/>
      <c r="V214" s="709"/>
      <c r="W214" s="709"/>
      <c r="X214" s="579">
        <f t="shared" si="66"/>
        <v>0.75702293329479808</v>
      </c>
    </row>
    <row r="215" spans="1:24" ht="36" outlineLevel="1">
      <c r="A215" s="254">
        <f>MAX(A$136:$A214)+1</f>
        <v>159</v>
      </c>
      <c r="B215" s="255" t="s">
        <v>874</v>
      </c>
      <c r="C215" s="263" t="s">
        <v>670</v>
      </c>
      <c r="D215" s="293" t="s">
        <v>173</v>
      </c>
      <c r="E215" s="293"/>
      <c r="F215" s="337" t="s">
        <v>752</v>
      </c>
      <c r="G215" s="337" t="s">
        <v>875</v>
      </c>
      <c r="H215" s="293" t="s">
        <v>212</v>
      </c>
      <c r="I215" s="293"/>
      <c r="J215" s="294">
        <v>65773.509999999995</v>
      </c>
      <c r="K215" s="295"/>
      <c r="L215" s="294">
        <v>55000</v>
      </c>
      <c r="M215" s="294"/>
      <c r="N215" s="294"/>
      <c r="O215" s="294"/>
      <c r="P215" s="294">
        <f t="shared" si="74"/>
        <v>55000</v>
      </c>
      <c r="Q215" s="294"/>
      <c r="R215" s="294">
        <v>55000</v>
      </c>
      <c r="S215" s="293"/>
      <c r="T215" s="709">
        <f t="shared" si="72"/>
        <v>0</v>
      </c>
      <c r="U215" s="709"/>
      <c r="V215" s="709">
        <v>1</v>
      </c>
      <c r="W215" s="709"/>
      <c r="X215" s="579">
        <f t="shared" si="66"/>
        <v>0.83620290296199795</v>
      </c>
    </row>
    <row r="216" spans="1:24" ht="30" outlineLevel="1">
      <c r="A216" s="254">
        <f>MAX(A$136:$A215)+1</f>
        <v>160</v>
      </c>
      <c r="B216" s="255" t="s">
        <v>742</v>
      </c>
      <c r="C216" s="263" t="s">
        <v>670</v>
      </c>
      <c r="D216" s="293" t="s">
        <v>101</v>
      </c>
      <c r="E216" s="293"/>
      <c r="F216" s="337" t="s">
        <v>743</v>
      </c>
      <c r="G216" s="337"/>
      <c r="H216" s="293" t="s">
        <v>879</v>
      </c>
      <c r="I216" s="293"/>
      <c r="J216" s="294">
        <v>80000</v>
      </c>
      <c r="K216" s="295"/>
      <c r="L216" s="294">
        <v>60000</v>
      </c>
      <c r="M216" s="294"/>
      <c r="N216" s="294"/>
      <c r="O216" s="294"/>
      <c r="P216" s="294">
        <f t="shared" si="74"/>
        <v>60000</v>
      </c>
      <c r="Q216" s="294"/>
      <c r="R216" s="294">
        <v>60000</v>
      </c>
      <c r="S216" s="293"/>
      <c r="T216" s="709">
        <f t="shared" si="72"/>
        <v>0</v>
      </c>
      <c r="U216" s="709"/>
      <c r="V216" s="709">
        <v>1</v>
      </c>
      <c r="W216" s="709"/>
      <c r="X216" s="579">
        <f t="shared" si="66"/>
        <v>0.75</v>
      </c>
    </row>
    <row r="217" spans="1:24" ht="36" outlineLevel="1">
      <c r="A217" s="254">
        <f>MAX(A$136:$A216)+1</f>
        <v>161</v>
      </c>
      <c r="B217" s="255" t="s">
        <v>744</v>
      </c>
      <c r="C217" s="263" t="s">
        <v>670</v>
      </c>
      <c r="D217" s="293" t="s">
        <v>173</v>
      </c>
      <c r="E217" s="293"/>
      <c r="F217" s="337" t="s">
        <v>745</v>
      </c>
      <c r="G217" s="337"/>
      <c r="H217" s="293" t="s">
        <v>212</v>
      </c>
      <c r="I217" s="293"/>
      <c r="J217" s="294">
        <v>25000</v>
      </c>
      <c r="K217" s="295"/>
      <c r="L217" s="294">
        <v>20000</v>
      </c>
      <c r="M217" s="294"/>
      <c r="N217" s="294"/>
      <c r="O217" s="294"/>
      <c r="P217" s="294">
        <f t="shared" si="74"/>
        <v>20000</v>
      </c>
      <c r="Q217" s="294"/>
      <c r="R217" s="294">
        <v>20000</v>
      </c>
      <c r="S217" s="293"/>
      <c r="T217" s="709">
        <f t="shared" si="72"/>
        <v>0</v>
      </c>
      <c r="U217" s="709"/>
      <c r="V217" s="709">
        <v>1</v>
      </c>
      <c r="W217" s="709"/>
      <c r="X217" s="579">
        <f t="shared" si="66"/>
        <v>0.8</v>
      </c>
    </row>
    <row r="218" spans="1:24" ht="30" outlineLevel="1">
      <c r="A218" s="254">
        <f>MAX(A$136:$A217)+1</f>
        <v>162</v>
      </c>
      <c r="B218" s="255" t="s">
        <v>746</v>
      </c>
      <c r="C218" s="263" t="s">
        <v>670</v>
      </c>
      <c r="D218" s="293" t="s">
        <v>173</v>
      </c>
      <c r="E218" s="293"/>
      <c r="F218" s="337" t="s">
        <v>743</v>
      </c>
      <c r="G218" s="337" t="s">
        <v>876</v>
      </c>
      <c r="H218" s="293" t="s">
        <v>428</v>
      </c>
      <c r="I218" s="293"/>
      <c r="J218" s="294">
        <v>20000</v>
      </c>
      <c r="K218" s="295"/>
      <c r="L218" s="294">
        <v>15000</v>
      </c>
      <c r="M218" s="294"/>
      <c r="N218" s="294"/>
      <c r="O218" s="294"/>
      <c r="P218" s="294">
        <f t="shared" si="74"/>
        <v>15000</v>
      </c>
      <c r="Q218" s="294"/>
      <c r="R218" s="294">
        <v>15000</v>
      </c>
      <c r="S218" s="293"/>
      <c r="T218" s="709">
        <f t="shared" si="72"/>
        <v>0</v>
      </c>
      <c r="U218" s="709"/>
      <c r="V218" s="709">
        <v>1</v>
      </c>
      <c r="W218" s="709"/>
      <c r="X218" s="579">
        <f t="shared" si="66"/>
        <v>0.75</v>
      </c>
    </row>
    <row r="219" spans="1:24" ht="30" outlineLevel="1">
      <c r="A219" s="254">
        <f>MAX(A$136:$A218)+1</f>
        <v>163</v>
      </c>
      <c r="B219" s="255" t="s">
        <v>748</v>
      </c>
      <c r="C219" s="263" t="s">
        <v>670</v>
      </c>
      <c r="D219" s="293" t="s">
        <v>173</v>
      </c>
      <c r="E219" s="293"/>
      <c r="F219" s="337" t="s">
        <v>749</v>
      </c>
      <c r="G219" s="337" t="s">
        <v>750</v>
      </c>
      <c r="H219" s="293" t="s">
        <v>428</v>
      </c>
      <c r="I219" s="293"/>
      <c r="J219" s="294">
        <v>15000</v>
      </c>
      <c r="K219" s="295"/>
      <c r="L219" s="294">
        <v>10000</v>
      </c>
      <c r="M219" s="294"/>
      <c r="N219" s="294"/>
      <c r="O219" s="294"/>
      <c r="P219" s="294">
        <f t="shared" si="74"/>
        <v>10000</v>
      </c>
      <c r="Q219" s="294"/>
      <c r="R219" s="294">
        <v>10000</v>
      </c>
      <c r="S219" s="293"/>
      <c r="T219" s="709">
        <f t="shared" si="72"/>
        <v>0</v>
      </c>
      <c r="U219" s="709"/>
      <c r="V219" s="709">
        <v>1</v>
      </c>
      <c r="W219" s="709"/>
      <c r="X219" s="579">
        <f t="shared" si="66"/>
        <v>0.66666666666666663</v>
      </c>
    </row>
    <row r="220" spans="1:24" ht="30" outlineLevel="1">
      <c r="A220" s="254">
        <f>MAX(A$136:$A219)+1</f>
        <v>164</v>
      </c>
      <c r="B220" s="255" t="s">
        <v>751</v>
      </c>
      <c r="C220" s="263" t="s">
        <v>670</v>
      </c>
      <c r="D220" s="293" t="s">
        <v>173</v>
      </c>
      <c r="E220" s="293"/>
      <c r="F220" s="337" t="s">
        <v>752</v>
      </c>
      <c r="G220" s="337" t="s">
        <v>753</v>
      </c>
      <c r="H220" s="293" t="s">
        <v>428</v>
      </c>
      <c r="I220" s="293"/>
      <c r="J220" s="294">
        <v>15000</v>
      </c>
      <c r="K220" s="295"/>
      <c r="L220" s="294">
        <v>10000</v>
      </c>
      <c r="M220" s="294"/>
      <c r="N220" s="294"/>
      <c r="O220" s="294"/>
      <c r="P220" s="294">
        <f t="shared" si="74"/>
        <v>10000</v>
      </c>
      <c r="Q220" s="294"/>
      <c r="R220" s="294">
        <v>10000</v>
      </c>
      <c r="S220" s="293"/>
      <c r="T220" s="709">
        <f t="shared" si="72"/>
        <v>0</v>
      </c>
      <c r="U220" s="709"/>
      <c r="V220" s="709">
        <v>1</v>
      </c>
      <c r="W220" s="709"/>
      <c r="X220" s="579">
        <f t="shared" si="66"/>
        <v>0.66666666666666663</v>
      </c>
    </row>
    <row r="221" spans="1:24" ht="30.6" customHeight="1" outlineLevel="1">
      <c r="A221" s="254">
        <f>MAX(A$136:$A220)+1</f>
        <v>165</v>
      </c>
      <c r="B221" s="255" t="s">
        <v>754</v>
      </c>
      <c r="C221" s="263" t="s">
        <v>670</v>
      </c>
      <c r="D221" s="293" t="s">
        <v>173</v>
      </c>
      <c r="E221" s="293"/>
      <c r="F221" s="337" t="s">
        <v>877</v>
      </c>
      <c r="G221" s="337" t="s">
        <v>755</v>
      </c>
      <c r="H221" s="293" t="s">
        <v>234</v>
      </c>
      <c r="I221" s="293"/>
      <c r="J221" s="294">
        <v>10000</v>
      </c>
      <c r="K221" s="295"/>
      <c r="L221" s="294">
        <v>5000</v>
      </c>
      <c r="M221" s="294"/>
      <c r="N221" s="294"/>
      <c r="O221" s="294"/>
      <c r="P221" s="294">
        <f t="shared" si="74"/>
        <v>5000</v>
      </c>
      <c r="Q221" s="294"/>
      <c r="R221" s="294">
        <v>5000</v>
      </c>
      <c r="S221" s="293"/>
      <c r="T221" s="709">
        <f t="shared" si="72"/>
        <v>0</v>
      </c>
      <c r="U221" s="709"/>
      <c r="V221" s="709">
        <v>1</v>
      </c>
      <c r="W221" s="709"/>
      <c r="X221" s="579">
        <f t="shared" si="66"/>
        <v>0.5</v>
      </c>
    </row>
    <row r="222" spans="1:24" ht="30.6" customHeight="1" outlineLevel="1">
      <c r="A222" s="254">
        <f>MAX(A$136:$A221)+1</f>
        <v>166</v>
      </c>
      <c r="B222" s="255" t="s">
        <v>873</v>
      </c>
      <c r="C222" s="263" t="s">
        <v>670</v>
      </c>
      <c r="D222" s="293" t="s">
        <v>173</v>
      </c>
      <c r="E222" s="293"/>
      <c r="F222" s="337" t="s">
        <v>757</v>
      </c>
      <c r="G222" s="337" t="s">
        <v>878</v>
      </c>
      <c r="H222" s="293" t="s">
        <v>234</v>
      </c>
      <c r="I222" s="293"/>
      <c r="J222" s="294">
        <v>7000</v>
      </c>
      <c r="K222" s="295"/>
      <c r="L222" s="294">
        <v>5000</v>
      </c>
      <c r="M222" s="294"/>
      <c r="N222" s="294"/>
      <c r="O222" s="294"/>
      <c r="P222" s="294">
        <f t="shared" si="74"/>
        <v>5000</v>
      </c>
      <c r="Q222" s="294"/>
      <c r="R222" s="294">
        <v>5000</v>
      </c>
      <c r="S222" s="293"/>
      <c r="T222" s="709">
        <f t="shared" si="72"/>
        <v>0</v>
      </c>
      <c r="U222" s="709"/>
      <c r="V222" s="709">
        <v>1</v>
      </c>
      <c r="W222" s="709"/>
      <c r="X222" s="579">
        <f t="shared" si="66"/>
        <v>0.7142857142857143</v>
      </c>
    </row>
    <row r="223" spans="1:24" s="297" customFormat="1" ht="18.75" customHeight="1">
      <c r="A223" s="527" t="s">
        <v>844</v>
      </c>
      <c r="B223" s="298" t="s">
        <v>188</v>
      </c>
      <c r="C223" s="394"/>
      <c r="D223" s="343"/>
      <c r="E223" s="343"/>
      <c r="F223" s="344"/>
      <c r="G223" s="344"/>
      <c r="H223" s="394"/>
      <c r="I223" s="343"/>
      <c r="J223" s="346">
        <f t="shared" ref="J223:R223" si="76">SUM(J224:J228)</f>
        <v>235000</v>
      </c>
      <c r="K223" s="346">
        <f t="shared" si="76"/>
        <v>0</v>
      </c>
      <c r="L223" s="346">
        <f t="shared" si="76"/>
        <v>180000</v>
      </c>
      <c r="M223" s="346">
        <f t="shared" si="76"/>
        <v>0</v>
      </c>
      <c r="N223" s="346">
        <f t="shared" si="76"/>
        <v>0</v>
      </c>
      <c r="O223" s="346">
        <f t="shared" si="76"/>
        <v>0</v>
      </c>
      <c r="P223" s="346">
        <f t="shared" si="76"/>
        <v>180000</v>
      </c>
      <c r="Q223" s="346">
        <f t="shared" si="76"/>
        <v>0</v>
      </c>
      <c r="R223" s="346">
        <f t="shared" si="76"/>
        <v>180000</v>
      </c>
      <c r="S223" s="344"/>
      <c r="T223" s="709"/>
      <c r="U223" s="709"/>
      <c r="V223" s="709"/>
      <c r="W223" s="709"/>
      <c r="X223" s="579">
        <f t="shared" si="66"/>
        <v>0.76595744680851063</v>
      </c>
    </row>
    <row r="224" spans="1:24" ht="30" outlineLevel="1">
      <c r="A224" s="254">
        <f>MAX(A$136:$A223)+1</f>
        <v>167</v>
      </c>
      <c r="B224" s="255" t="s">
        <v>786</v>
      </c>
      <c r="C224" s="263" t="s">
        <v>787</v>
      </c>
      <c r="D224" s="293" t="s">
        <v>173</v>
      </c>
      <c r="E224" s="293"/>
      <c r="F224" s="386" t="s">
        <v>788</v>
      </c>
      <c r="G224" s="337" t="s">
        <v>789</v>
      </c>
      <c r="H224" s="293" t="s">
        <v>330</v>
      </c>
      <c r="I224" s="486"/>
      <c r="J224" s="294">
        <v>40000</v>
      </c>
      <c r="K224" s="294"/>
      <c r="L224" s="294">
        <v>30000</v>
      </c>
      <c r="M224" s="294"/>
      <c r="N224" s="294"/>
      <c r="O224" s="294"/>
      <c r="P224" s="294">
        <f t="shared" si="74"/>
        <v>30000</v>
      </c>
      <c r="Q224" s="294"/>
      <c r="R224" s="294">
        <v>30000</v>
      </c>
      <c r="S224" s="313"/>
      <c r="T224" s="709">
        <f t="shared" si="72"/>
        <v>0</v>
      </c>
      <c r="U224" s="709"/>
      <c r="V224" s="709">
        <v>1</v>
      </c>
      <c r="W224" s="709"/>
      <c r="X224" s="579">
        <f t="shared" si="66"/>
        <v>0.75</v>
      </c>
    </row>
    <row r="225" spans="1:24" ht="48" outlineLevel="1">
      <c r="A225" s="254">
        <f>MAX(A$136:$A224)+1</f>
        <v>168</v>
      </c>
      <c r="B225" s="255" t="s">
        <v>790</v>
      </c>
      <c r="C225" s="263" t="s">
        <v>787</v>
      </c>
      <c r="D225" s="293" t="s">
        <v>173</v>
      </c>
      <c r="E225" s="293"/>
      <c r="F225" s="386" t="s">
        <v>791</v>
      </c>
      <c r="G225" s="337" t="s">
        <v>792</v>
      </c>
      <c r="H225" s="293" t="s">
        <v>563</v>
      </c>
      <c r="I225" s="486"/>
      <c r="J225" s="294">
        <v>15000</v>
      </c>
      <c r="K225" s="294"/>
      <c r="L225" s="294">
        <v>10000</v>
      </c>
      <c r="M225" s="294"/>
      <c r="N225" s="294"/>
      <c r="O225" s="294"/>
      <c r="P225" s="294">
        <f t="shared" si="74"/>
        <v>10000</v>
      </c>
      <c r="Q225" s="294"/>
      <c r="R225" s="294">
        <v>10000</v>
      </c>
      <c r="S225" s="313"/>
      <c r="T225" s="709">
        <f t="shared" si="72"/>
        <v>0</v>
      </c>
      <c r="U225" s="709"/>
      <c r="V225" s="709">
        <v>1</v>
      </c>
      <c r="W225" s="709"/>
      <c r="X225" s="579">
        <f t="shared" si="66"/>
        <v>0.66666666666666663</v>
      </c>
    </row>
    <row r="226" spans="1:24" ht="30" outlineLevel="1">
      <c r="A226" s="254">
        <f>MAX(A$136:$A225)+1</f>
        <v>169</v>
      </c>
      <c r="B226" s="255" t="s">
        <v>793</v>
      </c>
      <c r="C226" s="263" t="s">
        <v>787</v>
      </c>
      <c r="D226" s="293" t="s">
        <v>173</v>
      </c>
      <c r="E226" s="293"/>
      <c r="F226" s="386" t="s">
        <v>794</v>
      </c>
      <c r="G226" s="337" t="s">
        <v>795</v>
      </c>
      <c r="H226" s="293" t="s">
        <v>796</v>
      </c>
      <c r="I226" s="486"/>
      <c r="J226" s="294">
        <v>40000</v>
      </c>
      <c r="K226" s="294"/>
      <c r="L226" s="294">
        <v>30000</v>
      </c>
      <c r="M226" s="294"/>
      <c r="N226" s="294"/>
      <c r="O226" s="294"/>
      <c r="P226" s="294">
        <f t="shared" si="74"/>
        <v>30000</v>
      </c>
      <c r="Q226" s="294"/>
      <c r="R226" s="294">
        <v>30000</v>
      </c>
      <c r="S226" s="313"/>
      <c r="T226" s="709">
        <f t="shared" si="72"/>
        <v>0</v>
      </c>
      <c r="U226" s="709"/>
      <c r="V226" s="709">
        <v>1</v>
      </c>
      <c r="W226" s="709"/>
      <c r="X226" s="579">
        <f t="shared" si="66"/>
        <v>0.75</v>
      </c>
    </row>
    <row r="227" spans="1:24" ht="30" outlineLevel="1">
      <c r="A227" s="254">
        <f>MAX(A$136:$A226)+1</f>
        <v>170</v>
      </c>
      <c r="B227" s="255" t="s">
        <v>797</v>
      </c>
      <c r="C227" s="263" t="s">
        <v>787</v>
      </c>
      <c r="D227" s="293" t="s">
        <v>173</v>
      </c>
      <c r="E227" s="293"/>
      <c r="F227" s="386" t="s">
        <v>798</v>
      </c>
      <c r="G227" s="337" t="s">
        <v>789</v>
      </c>
      <c r="H227" s="293" t="s">
        <v>799</v>
      </c>
      <c r="I227" s="486"/>
      <c r="J227" s="294">
        <v>60000</v>
      </c>
      <c r="K227" s="294"/>
      <c r="L227" s="294">
        <v>45000</v>
      </c>
      <c r="M227" s="294"/>
      <c r="N227" s="294"/>
      <c r="O227" s="294"/>
      <c r="P227" s="294">
        <f t="shared" si="74"/>
        <v>45000</v>
      </c>
      <c r="Q227" s="294"/>
      <c r="R227" s="294">
        <v>45000</v>
      </c>
      <c r="S227" s="313"/>
      <c r="T227" s="709">
        <f t="shared" si="72"/>
        <v>0</v>
      </c>
      <c r="U227" s="709"/>
      <c r="V227" s="709">
        <v>1</v>
      </c>
      <c r="W227" s="709"/>
      <c r="X227" s="579">
        <f t="shared" si="66"/>
        <v>0.75</v>
      </c>
    </row>
    <row r="228" spans="1:24" ht="45" outlineLevel="1">
      <c r="A228" s="254">
        <f>MAX(A$136:$A227)+1</f>
        <v>171</v>
      </c>
      <c r="B228" s="255" t="s">
        <v>800</v>
      </c>
      <c r="C228" s="263" t="s">
        <v>787</v>
      </c>
      <c r="D228" s="293" t="s">
        <v>173</v>
      </c>
      <c r="E228" s="293"/>
      <c r="F228" s="337" t="s">
        <v>791</v>
      </c>
      <c r="G228" s="337" t="s">
        <v>801</v>
      </c>
      <c r="H228" s="293" t="s">
        <v>212</v>
      </c>
      <c r="I228" s="293"/>
      <c r="J228" s="294">
        <v>80000</v>
      </c>
      <c r="K228" s="295"/>
      <c r="L228" s="294">
        <v>65000</v>
      </c>
      <c r="M228" s="294"/>
      <c r="N228" s="294"/>
      <c r="O228" s="294"/>
      <c r="P228" s="294">
        <f t="shared" si="74"/>
        <v>65000</v>
      </c>
      <c r="Q228" s="294"/>
      <c r="R228" s="294">
        <v>65000</v>
      </c>
      <c r="S228" s="313"/>
      <c r="T228" s="709">
        <f t="shared" si="72"/>
        <v>0</v>
      </c>
      <c r="U228" s="709"/>
      <c r="V228" s="709">
        <v>1</v>
      </c>
      <c r="W228" s="709"/>
      <c r="X228" s="579">
        <f t="shared" si="66"/>
        <v>0.8125</v>
      </c>
    </row>
    <row r="229" spans="1:24" s="297" customFormat="1" ht="18.75" customHeight="1">
      <c r="A229" s="527" t="s">
        <v>845</v>
      </c>
      <c r="B229" s="298" t="s">
        <v>671</v>
      </c>
      <c r="C229" s="394"/>
      <c r="D229" s="343"/>
      <c r="E229" s="343"/>
      <c r="F229" s="344"/>
      <c r="G229" s="344"/>
      <c r="H229" s="394"/>
      <c r="I229" s="343"/>
      <c r="J229" s="346">
        <f t="shared" ref="J229:R229" si="77">SUM(J230:J233)</f>
        <v>251000</v>
      </c>
      <c r="K229" s="346">
        <f t="shared" si="77"/>
        <v>0</v>
      </c>
      <c r="L229" s="346">
        <f t="shared" si="77"/>
        <v>180000</v>
      </c>
      <c r="M229" s="346">
        <f t="shared" si="77"/>
        <v>0</v>
      </c>
      <c r="N229" s="346">
        <f t="shared" si="77"/>
        <v>0</v>
      </c>
      <c r="O229" s="346">
        <f t="shared" si="77"/>
        <v>0</v>
      </c>
      <c r="P229" s="346">
        <f t="shared" si="77"/>
        <v>180000</v>
      </c>
      <c r="Q229" s="346">
        <f t="shared" si="77"/>
        <v>0</v>
      </c>
      <c r="R229" s="346">
        <f t="shared" si="77"/>
        <v>180000</v>
      </c>
      <c r="S229" s="344"/>
      <c r="T229" s="709"/>
      <c r="U229" s="709"/>
      <c r="V229" s="709"/>
      <c r="W229" s="709"/>
      <c r="X229" s="579">
        <f t="shared" si="66"/>
        <v>0.71713147410358569</v>
      </c>
    </row>
    <row r="230" spans="1:24" ht="30" outlineLevel="1">
      <c r="A230" s="254">
        <f>MAX(A$136:$A229)+1</f>
        <v>172</v>
      </c>
      <c r="B230" s="255" t="s">
        <v>804</v>
      </c>
      <c r="C230" s="263" t="s">
        <v>671</v>
      </c>
      <c r="D230" s="293" t="s">
        <v>173</v>
      </c>
      <c r="E230" s="293"/>
      <c r="F230" s="337" t="s">
        <v>805</v>
      </c>
      <c r="G230" s="337"/>
      <c r="H230" s="293" t="s">
        <v>300</v>
      </c>
      <c r="I230" s="293"/>
      <c r="J230" s="294">
        <v>30000</v>
      </c>
      <c r="K230" s="295"/>
      <c r="L230" s="294">
        <v>20000</v>
      </c>
      <c r="M230" s="294"/>
      <c r="N230" s="294"/>
      <c r="O230" s="294"/>
      <c r="P230" s="294">
        <f t="shared" si="74"/>
        <v>20000</v>
      </c>
      <c r="Q230" s="294"/>
      <c r="R230" s="294">
        <v>20000</v>
      </c>
      <c r="S230" s="293"/>
      <c r="T230" s="709">
        <f t="shared" si="72"/>
        <v>0</v>
      </c>
      <c r="U230" s="709"/>
      <c r="V230" s="709">
        <v>1</v>
      </c>
      <c r="W230" s="709"/>
      <c r="X230" s="579">
        <f t="shared" si="66"/>
        <v>0.66666666666666663</v>
      </c>
    </row>
    <row r="231" spans="1:24" ht="30" outlineLevel="1">
      <c r="A231" s="254">
        <f>MAX(A$136:$A230)+1</f>
        <v>173</v>
      </c>
      <c r="B231" s="255" t="s">
        <v>806</v>
      </c>
      <c r="C231" s="263" t="s">
        <v>671</v>
      </c>
      <c r="D231" s="293" t="s">
        <v>173</v>
      </c>
      <c r="E231" s="293"/>
      <c r="F231" s="337" t="s">
        <v>807</v>
      </c>
      <c r="G231" s="263" t="s">
        <v>929</v>
      </c>
      <c r="H231" s="293" t="s">
        <v>300</v>
      </c>
      <c r="I231" s="293"/>
      <c r="J231" s="294">
        <v>77000</v>
      </c>
      <c r="K231" s="295"/>
      <c r="L231" s="294">
        <v>50000</v>
      </c>
      <c r="M231" s="294"/>
      <c r="N231" s="294"/>
      <c r="O231" s="294"/>
      <c r="P231" s="294">
        <f t="shared" si="74"/>
        <v>50000</v>
      </c>
      <c r="Q231" s="294"/>
      <c r="R231" s="294">
        <v>50000</v>
      </c>
      <c r="S231" s="293"/>
      <c r="T231" s="709">
        <f t="shared" si="72"/>
        <v>0</v>
      </c>
      <c r="U231" s="709"/>
      <c r="V231" s="709">
        <v>1</v>
      </c>
      <c r="W231" s="709"/>
      <c r="X231" s="579">
        <f t="shared" si="66"/>
        <v>0.64935064935064934</v>
      </c>
    </row>
    <row r="232" spans="1:24" ht="30" outlineLevel="1">
      <c r="A232" s="254">
        <f>MAX(A$136:$A231)+1</f>
        <v>174</v>
      </c>
      <c r="B232" s="255" t="s">
        <v>809</v>
      </c>
      <c r="C232" s="263" t="s">
        <v>674</v>
      </c>
      <c r="D232" s="293" t="s">
        <v>173</v>
      </c>
      <c r="E232" s="293"/>
      <c r="F232" s="337" t="s">
        <v>807</v>
      </c>
      <c r="G232" s="263" t="s">
        <v>810</v>
      </c>
      <c r="H232" s="293" t="s">
        <v>300</v>
      </c>
      <c r="I232" s="293"/>
      <c r="J232" s="294">
        <v>79000</v>
      </c>
      <c r="K232" s="295"/>
      <c r="L232" s="294">
        <v>60000</v>
      </c>
      <c r="M232" s="294"/>
      <c r="N232" s="294"/>
      <c r="O232" s="294"/>
      <c r="P232" s="294">
        <f t="shared" si="74"/>
        <v>60000</v>
      </c>
      <c r="Q232" s="294"/>
      <c r="R232" s="294">
        <v>60000</v>
      </c>
      <c r="S232" s="293"/>
      <c r="T232" s="709">
        <f t="shared" si="72"/>
        <v>0</v>
      </c>
      <c r="U232" s="709"/>
      <c r="V232" s="709">
        <v>1</v>
      </c>
      <c r="W232" s="709"/>
      <c r="X232" s="579">
        <f t="shared" si="66"/>
        <v>0.759493670886076</v>
      </c>
    </row>
    <row r="233" spans="1:24" ht="30" outlineLevel="1">
      <c r="A233" s="254">
        <f>MAX(A$136:$A232)+1</f>
        <v>175</v>
      </c>
      <c r="B233" s="255" t="s">
        <v>811</v>
      </c>
      <c r="C233" s="263" t="s">
        <v>674</v>
      </c>
      <c r="D233" s="293" t="s">
        <v>173</v>
      </c>
      <c r="E233" s="293"/>
      <c r="F233" s="337" t="s">
        <v>805</v>
      </c>
      <c r="G233" s="337" t="s">
        <v>932</v>
      </c>
      <c r="H233" s="293" t="s">
        <v>300</v>
      </c>
      <c r="I233" s="293"/>
      <c r="J233" s="294">
        <v>65000</v>
      </c>
      <c r="K233" s="295"/>
      <c r="L233" s="294">
        <v>50000</v>
      </c>
      <c r="M233" s="294"/>
      <c r="N233" s="294"/>
      <c r="O233" s="294"/>
      <c r="P233" s="294">
        <f t="shared" si="74"/>
        <v>50000</v>
      </c>
      <c r="Q233" s="294"/>
      <c r="R233" s="294">
        <v>50000</v>
      </c>
      <c r="S233" s="293"/>
      <c r="T233" s="709">
        <f t="shared" si="72"/>
        <v>0</v>
      </c>
      <c r="U233" s="709"/>
      <c r="V233" s="709">
        <v>1</v>
      </c>
      <c r="W233" s="709"/>
      <c r="X233" s="579">
        <f t="shared" si="66"/>
        <v>0.76923076923076927</v>
      </c>
    </row>
    <row r="234" spans="1:24" s="297" customFormat="1" ht="18.75" customHeight="1">
      <c r="A234" s="527" t="s">
        <v>846</v>
      </c>
      <c r="B234" s="298" t="s">
        <v>189</v>
      </c>
      <c r="C234" s="394"/>
      <c r="D234" s="343"/>
      <c r="E234" s="343"/>
      <c r="F234" s="344"/>
      <c r="G234" s="344"/>
      <c r="H234" s="394"/>
      <c r="I234" s="343"/>
      <c r="J234" s="346">
        <f>SUM(J235:J237)</f>
        <v>200000</v>
      </c>
      <c r="K234" s="346">
        <f t="shared" ref="K234:R234" si="78">SUM(K235:K237)</f>
        <v>0</v>
      </c>
      <c r="L234" s="346">
        <f t="shared" si="78"/>
        <v>180000</v>
      </c>
      <c r="M234" s="346">
        <f t="shared" si="78"/>
        <v>0</v>
      </c>
      <c r="N234" s="346">
        <f t="shared" si="78"/>
        <v>0</v>
      </c>
      <c r="O234" s="346">
        <f t="shared" si="78"/>
        <v>0</v>
      </c>
      <c r="P234" s="346">
        <f t="shared" si="78"/>
        <v>180000</v>
      </c>
      <c r="Q234" s="346">
        <f t="shared" si="78"/>
        <v>0</v>
      </c>
      <c r="R234" s="346">
        <f t="shared" si="78"/>
        <v>180000</v>
      </c>
      <c r="S234" s="344"/>
      <c r="T234" s="709"/>
      <c r="U234" s="709"/>
      <c r="V234" s="709"/>
      <c r="W234" s="709"/>
      <c r="X234" s="579">
        <f t="shared" si="66"/>
        <v>0.9</v>
      </c>
    </row>
    <row r="235" spans="1:24" ht="45" outlineLevel="1">
      <c r="A235" s="254">
        <f>MAX(A$136:$A234)+1</f>
        <v>176</v>
      </c>
      <c r="B235" s="255" t="s">
        <v>816</v>
      </c>
      <c r="C235" s="263" t="s">
        <v>189</v>
      </c>
      <c r="D235" s="293" t="s">
        <v>173</v>
      </c>
      <c r="E235" s="293"/>
      <c r="F235" s="632" t="s">
        <v>817</v>
      </c>
      <c r="G235" s="468" t="s">
        <v>931</v>
      </c>
      <c r="H235" s="293" t="s">
        <v>212</v>
      </c>
      <c r="I235" s="293"/>
      <c r="J235" s="294">
        <v>70000</v>
      </c>
      <c r="K235" s="294"/>
      <c r="L235" s="294">
        <v>70000</v>
      </c>
      <c r="M235" s="294"/>
      <c r="N235" s="294"/>
      <c r="O235" s="294"/>
      <c r="P235" s="294">
        <f>Q235+R235</f>
        <v>70000</v>
      </c>
      <c r="Q235" s="294"/>
      <c r="R235" s="294">
        <v>70000</v>
      </c>
      <c r="S235" s="293"/>
      <c r="T235" s="709">
        <f t="shared" si="72"/>
        <v>0</v>
      </c>
      <c r="U235" s="709"/>
      <c r="V235" s="709">
        <v>1</v>
      </c>
      <c r="W235" s="709"/>
      <c r="X235" s="579">
        <f t="shared" si="66"/>
        <v>1</v>
      </c>
    </row>
    <row r="236" spans="1:24" ht="60" outlineLevel="1">
      <c r="A236" s="254">
        <f>MAX(A$136:$A235)+1</f>
        <v>177</v>
      </c>
      <c r="B236" s="255" t="s">
        <v>819</v>
      </c>
      <c r="C236" s="263" t="s">
        <v>189</v>
      </c>
      <c r="D236" s="293" t="s">
        <v>173</v>
      </c>
      <c r="E236" s="293"/>
      <c r="F236" s="632" t="s">
        <v>820</v>
      </c>
      <c r="G236" s="580" t="s">
        <v>930</v>
      </c>
      <c r="H236" s="293" t="s">
        <v>212</v>
      </c>
      <c r="I236" s="293"/>
      <c r="J236" s="294">
        <v>50000</v>
      </c>
      <c r="K236" s="294"/>
      <c r="L236" s="294">
        <v>50000</v>
      </c>
      <c r="M236" s="294"/>
      <c r="N236" s="294"/>
      <c r="O236" s="294"/>
      <c r="P236" s="294">
        <f>Q236+R236</f>
        <v>50000</v>
      </c>
      <c r="Q236" s="294"/>
      <c r="R236" s="294">
        <v>50000</v>
      </c>
      <c r="S236" s="255"/>
      <c r="T236" s="709">
        <f t="shared" si="72"/>
        <v>0</v>
      </c>
      <c r="U236" s="709"/>
      <c r="V236" s="709">
        <v>1</v>
      </c>
      <c r="W236" s="709"/>
      <c r="X236" s="579">
        <f t="shared" si="66"/>
        <v>1</v>
      </c>
    </row>
    <row r="237" spans="1:24" ht="45" outlineLevel="1">
      <c r="A237" s="254">
        <f>MAX(A$136:$A236)+1</f>
        <v>178</v>
      </c>
      <c r="B237" s="255" t="s">
        <v>822</v>
      </c>
      <c r="C237" s="263" t="s">
        <v>189</v>
      </c>
      <c r="D237" s="293" t="s">
        <v>173</v>
      </c>
      <c r="E237" s="293"/>
      <c r="F237" s="632" t="s">
        <v>824</v>
      </c>
      <c r="G237" s="468" t="s">
        <v>823</v>
      </c>
      <c r="H237" s="293" t="s">
        <v>428</v>
      </c>
      <c r="I237" s="293"/>
      <c r="J237" s="294">
        <v>80000</v>
      </c>
      <c r="K237" s="294"/>
      <c r="L237" s="294">
        <v>60000</v>
      </c>
      <c r="M237" s="294"/>
      <c r="N237" s="294"/>
      <c r="O237" s="294"/>
      <c r="P237" s="294">
        <f>Q237+R237</f>
        <v>60000</v>
      </c>
      <c r="Q237" s="294"/>
      <c r="R237" s="294">
        <v>60000</v>
      </c>
      <c r="S237" s="293"/>
      <c r="T237" s="709">
        <f t="shared" si="72"/>
        <v>0</v>
      </c>
      <c r="U237" s="709"/>
      <c r="V237" s="709">
        <v>1</v>
      </c>
      <c r="W237" s="709"/>
      <c r="X237" s="579">
        <f t="shared" si="66"/>
        <v>0.75</v>
      </c>
    </row>
    <row r="238" spans="1:24" s="297" customFormat="1" ht="18.75" customHeight="1">
      <c r="A238" s="527" t="s">
        <v>847</v>
      </c>
      <c r="B238" s="298" t="s">
        <v>672</v>
      </c>
      <c r="C238" s="394"/>
      <c r="D238" s="343"/>
      <c r="E238" s="343"/>
      <c r="F238" s="344"/>
      <c r="G238" s="344"/>
      <c r="H238" s="394"/>
      <c r="I238" s="343"/>
      <c r="J238" s="346">
        <f t="shared" ref="J238:R238" si="79">SUM(J239:J240)</f>
        <v>210000</v>
      </c>
      <c r="K238" s="346">
        <f t="shared" si="79"/>
        <v>0</v>
      </c>
      <c r="L238" s="346">
        <f t="shared" si="79"/>
        <v>180000</v>
      </c>
      <c r="M238" s="346">
        <f t="shared" si="79"/>
        <v>0</v>
      </c>
      <c r="N238" s="346">
        <f t="shared" si="79"/>
        <v>0</v>
      </c>
      <c r="O238" s="346">
        <f t="shared" si="79"/>
        <v>0</v>
      </c>
      <c r="P238" s="346">
        <f t="shared" si="79"/>
        <v>180000</v>
      </c>
      <c r="Q238" s="346">
        <f t="shared" si="79"/>
        <v>0</v>
      </c>
      <c r="R238" s="346">
        <f t="shared" si="79"/>
        <v>180000</v>
      </c>
      <c r="S238" s="344"/>
      <c r="T238" s="709"/>
      <c r="U238" s="709"/>
      <c r="V238" s="709"/>
      <c r="W238" s="709"/>
      <c r="X238" s="579">
        <f t="shared" si="66"/>
        <v>0.8571428571428571</v>
      </c>
    </row>
    <row r="239" spans="1:24" ht="32.450000000000003" customHeight="1" outlineLevel="1">
      <c r="A239" s="254">
        <f>MAX(A$136:$A238)+1</f>
        <v>179</v>
      </c>
      <c r="B239" s="255" t="s">
        <v>825</v>
      </c>
      <c r="C239" s="263" t="s">
        <v>672</v>
      </c>
      <c r="D239" s="293" t="s">
        <v>173</v>
      </c>
      <c r="E239" s="293"/>
      <c r="F239" s="337" t="s">
        <v>826</v>
      </c>
      <c r="G239" s="337"/>
      <c r="H239" s="293" t="s">
        <v>212</v>
      </c>
      <c r="I239" s="293"/>
      <c r="J239" s="294">
        <v>100000</v>
      </c>
      <c r="K239" s="295"/>
      <c r="L239" s="294">
        <v>90000</v>
      </c>
      <c r="M239" s="295"/>
      <c r="N239" s="295"/>
      <c r="O239" s="295"/>
      <c r="P239" s="294">
        <f>Q239+R239</f>
        <v>90000</v>
      </c>
      <c r="Q239" s="294"/>
      <c r="R239" s="294">
        <v>90000</v>
      </c>
      <c r="S239" s="313"/>
      <c r="T239" s="709">
        <f t="shared" si="72"/>
        <v>0</v>
      </c>
      <c r="U239" s="709"/>
      <c r="V239" s="709">
        <v>1</v>
      </c>
      <c r="W239" s="709"/>
      <c r="X239" s="579">
        <f t="shared" si="66"/>
        <v>0.9</v>
      </c>
    </row>
    <row r="240" spans="1:24" ht="60" outlineLevel="1">
      <c r="A240" s="254">
        <f>MAX(A$136:$A239)+1</f>
        <v>180</v>
      </c>
      <c r="B240" s="255" t="s">
        <v>827</v>
      </c>
      <c r="C240" s="263" t="s">
        <v>672</v>
      </c>
      <c r="D240" s="293" t="s">
        <v>101</v>
      </c>
      <c r="E240" s="293"/>
      <c r="F240" s="337" t="s">
        <v>539</v>
      </c>
      <c r="G240" s="337"/>
      <c r="H240" s="293" t="s">
        <v>211</v>
      </c>
      <c r="I240" s="293"/>
      <c r="J240" s="294">
        <v>110000</v>
      </c>
      <c r="K240" s="295"/>
      <c r="L240" s="294">
        <v>90000</v>
      </c>
      <c r="M240" s="295"/>
      <c r="N240" s="295"/>
      <c r="O240" s="295"/>
      <c r="P240" s="294">
        <f>Q240+R240</f>
        <v>90000</v>
      </c>
      <c r="Q240" s="294"/>
      <c r="R240" s="294">
        <v>90000</v>
      </c>
      <c r="S240" s="313"/>
      <c r="T240" s="709">
        <f t="shared" si="72"/>
        <v>0</v>
      </c>
      <c r="U240" s="709"/>
      <c r="V240" s="709">
        <v>1</v>
      </c>
      <c r="W240" s="709"/>
      <c r="X240" s="579">
        <f t="shared" si="66"/>
        <v>0.81818181818181823</v>
      </c>
    </row>
    <row r="241" spans="1:24" ht="7.15" customHeight="1">
      <c r="A241" s="273"/>
      <c r="B241" s="314"/>
      <c r="C241" s="563"/>
      <c r="D241" s="314"/>
      <c r="E241" s="314"/>
      <c r="F241" s="341"/>
      <c r="G241" s="341"/>
      <c r="H241" s="314"/>
      <c r="I241" s="314"/>
      <c r="J241" s="314"/>
      <c r="K241" s="314"/>
      <c r="L241" s="314"/>
      <c r="M241" s="314"/>
      <c r="N241" s="314"/>
      <c r="O241" s="314"/>
      <c r="P241" s="314"/>
      <c r="Q241" s="314"/>
      <c r="R241" s="314"/>
      <c r="S241" s="314"/>
      <c r="X241" s="579"/>
    </row>
    <row r="242" spans="1:24">
      <c r="U242" s="296">
        <f>SUM(U14:U240)</f>
        <v>8</v>
      </c>
      <c r="V242" s="296">
        <f>SUM(V14:V240)</f>
        <v>172</v>
      </c>
      <c r="W242" s="296" t="s">
        <v>120</v>
      </c>
    </row>
    <row r="243" spans="1:24">
      <c r="V243">
        <v>1</v>
      </c>
      <c r="W243" t="s">
        <v>972</v>
      </c>
    </row>
    <row r="244" spans="1:24">
      <c r="T244" s="720">
        <v>890000</v>
      </c>
      <c r="V244">
        <v>24</v>
      </c>
      <c r="W244" t="s">
        <v>971</v>
      </c>
    </row>
    <row r="245" spans="1:24">
      <c r="T245" s="720">
        <v>2730030</v>
      </c>
      <c r="V245" s="719">
        <f>V242+V243+V244</f>
        <v>197</v>
      </c>
      <c r="W245" s="296"/>
    </row>
    <row r="246" spans="1:24">
      <c r="T246" s="721">
        <f>T245+T244</f>
        <v>3620030</v>
      </c>
      <c r="V246" s="296">
        <f>V245-U242</f>
        <v>189</v>
      </c>
    </row>
  </sheetData>
  <mergeCells count="29">
    <mergeCell ref="A1:S1"/>
    <mergeCell ref="A2:S2"/>
    <mergeCell ref="A3:S3"/>
    <mergeCell ref="A5:A8"/>
    <mergeCell ref="B5:B8"/>
    <mergeCell ref="C5:C8"/>
    <mergeCell ref="D5:D8"/>
    <mergeCell ref="E5:E8"/>
    <mergeCell ref="F5:F8"/>
    <mergeCell ref="G5:G8"/>
    <mergeCell ref="H5:H8"/>
    <mergeCell ref="I5:L5"/>
    <mergeCell ref="M5:O5"/>
    <mergeCell ref="P5:R5"/>
    <mergeCell ref="S5:S8"/>
    <mergeCell ref="I6:I8"/>
    <mergeCell ref="J6:J8"/>
    <mergeCell ref="K6:L6"/>
    <mergeCell ref="M6:M8"/>
    <mergeCell ref="N6:O6"/>
    <mergeCell ref="S107:S115"/>
    <mergeCell ref="P6:P8"/>
    <mergeCell ref="Q6:R6"/>
    <mergeCell ref="K7:K8"/>
    <mergeCell ref="L7:L8"/>
    <mergeCell ref="N7:N8"/>
    <mergeCell ref="O7:O8"/>
    <mergeCell ref="Q7:Q8"/>
    <mergeCell ref="R7:R8"/>
  </mergeCells>
  <printOptions horizontalCentered="1"/>
  <pageMargins left="0.2" right="0.2" top="0.75" bottom="0.25" header="0.05" footer="0.05"/>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PL TongHOp 21-25 (IN)</vt:lpstr>
      <vt:lpstr>PL tong hop du kien 26-30</vt:lpstr>
      <vt:lpstr>PL2-Von ODA- Khong</vt:lpstr>
      <vt:lpstr>PL3-NSDP Chuyen tiep- Khong</vt:lpstr>
      <vt:lpstr>Phu luc</vt:lpstr>
      <vt:lpstr>Phu bieu-Danh muc khong chon</vt:lpstr>
      <vt:lpstr>Nhu cau Khoi cong moi đơn vị</vt:lpstr>
      <vt:lpstr>So sanh cac huyen</vt:lpstr>
      <vt:lpstr>Trang_tính1</vt:lpstr>
      <vt:lpstr>PL2-Khoi cong moi (gốc)</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PC</cp:lastModifiedBy>
  <cp:lastPrinted>2026-09-28T05:18:22Z</cp:lastPrinted>
  <dcterms:created xsi:type="dcterms:W3CDTF">2024-09-03T00:25:58Z</dcterms:created>
  <dcterms:modified xsi:type="dcterms:W3CDTF">2026-09-28T05:19:43Z</dcterms:modified>
</cp:coreProperties>
</file>